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<sst xmlns="http://schemas.openxmlformats.org/spreadsheetml/2006/main" count="261" uniqueCount="176">
  <si>
    <t>оборотный рейс</t>
  </si>
  <si>
    <t>время работы на маршруте</t>
  </si>
  <si>
    <t>средний интервал движения</t>
  </si>
  <si>
    <t>Рабочие дни</t>
  </si>
  <si>
    <t>км</t>
  </si>
  <si>
    <t>мин</t>
  </si>
  <si>
    <t>нач.раб.</t>
  </si>
  <si>
    <t>кон.раб.</t>
  </si>
  <si>
    <t>деж.гр</t>
  </si>
  <si>
    <t>пик</t>
  </si>
  <si>
    <t>межпик</t>
  </si>
  <si>
    <t>вечер</t>
  </si>
  <si>
    <t>выходные дни</t>
  </si>
  <si>
    <t>окончание работы</t>
  </si>
  <si>
    <t>S,km</t>
  </si>
  <si>
    <t>V,km/h</t>
  </si>
  <si>
    <t>T(i),min</t>
  </si>
  <si>
    <t>6-9,00</t>
  </si>
  <si>
    <t>9-15,00</t>
  </si>
  <si>
    <t>15-19,00</t>
  </si>
  <si>
    <t>19-22,00</t>
  </si>
  <si>
    <t>22,00 later</t>
  </si>
  <si>
    <t xml:space="preserve">будние </t>
  </si>
  <si>
    <t>ЧПУ,t</t>
  </si>
  <si>
    <t>ЧПУ,n</t>
  </si>
  <si>
    <t>t</t>
  </si>
  <si>
    <t>n</t>
  </si>
  <si>
    <t>выходные</t>
  </si>
  <si>
    <t>Рабочие</t>
  </si>
  <si>
    <t>22,00 после</t>
  </si>
  <si>
    <t>T(i)</t>
  </si>
  <si>
    <t>tccr</t>
  </si>
  <si>
    <t>summ T</t>
  </si>
  <si>
    <t>Выходные</t>
  </si>
  <si>
    <t>TccB</t>
  </si>
  <si>
    <t>Tcc</t>
  </si>
  <si>
    <t>To</t>
  </si>
  <si>
    <t>Tcг</t>
  </si>
  <si>
    <t>рабочие</t>
  </si>
  <si>
    <t>n(u)</t>
  </si>
  <si>
    <t>Lccr</t>
  </si>
  <si>
    <t>LccB</t>
  </si>
  <si>
    <t>Lcc</t>
  </si>
  <si>
    <t>Lo</t>
  </si>
  <si>
    <t>сумма</t>
  </si>
  <si>
    <t>Lcг</t>
  </si>
  <si>
    <t>ncп</t>
  </si>
  <si>
    <t>nkр</t>
  </si>
  <si>
    <t>nтр</t>
  </si>
  <si>
    <t>пробег</t>
  </si>
  <si>
    <t>вид раб.</t>
  </si>
  <si>
    <t>Qб</t>
  </si>
  <si>
    <t>K1</t>
  </si>
  <si>
    <t>k2</t>
  </si>
  <si>
    <t>k3</t>
  </si>
  <si>
    <t>k4</t>
  </si>
  <si>
    <t>k5</t>
  </si>
  <si>
    <t>Q</t>
  </si>
  <si>
    <t>ТО-1</t>
  </si>
  <si>
    <t>ТО-2</t>
  </si>
  <si>
    <t>СО(Л)</t>
  </si>
  <si>
    <t>ТР</t>
  </si>
  <si>
    <t>СО(З)</t>
  </si>
  <si>
    <t>вид рем.</t>
  </si>
  <si>
    <t>колл.рем.</t>
  </si>
  <si>
    <t>трудом.</t>
  </si>
  <si>
    <t>1го трол.</t>
  </si>
  <si>
    <t>парка</t>
  </si>
  <si>
    <t>тр</t>
  </si>
  <si>
    <t>то-2</t>
  </si>
  <si>
    <t>то-1</t>
  </si>
  <si>
    <t>вид рем</t>
  </si>
  <si>
    <t>норм.прод.ремонта</t>
  </si>
  <si>
    <t>время.затр.на рем</t>
  </si>
  <si>
    <t>время нах.в рем.</t>
  </si>
  <si>
    <t>время которое пс не раб</t>
  </si>
  <si>
    <t>инвертарный парк дэпо</t>
  </si>
  <si>
    <t>n(to-2)</t>
  </si>
  <si>
    <t>n(to-1)</t>
  </si>
  <si>
    <t>n(tr)</t>
  </si>
  <si>
    <t>фронт ремонта</t>
  </si>
  <si>
    <t>колл.п.с</t>
  </si>
  <si>
    <t>фронт.рем.</t>
  </si>
  <si>
    <t>Др.макс</t>
  </si>
  <si>
    <t>Др.мин</t>
  </si>
  <si>
    <t>макс.</t>
  </si>
  <si>
    <t>мин.</t>
  </si>
  <si>
    <t>n.и.ф</t>
  </si>
  <si>
    <t>n.u</t>
  </si>
  <si>
    <t>а.в.р</t>
  </si>
  <si>
    <t>n.e.o.</t>
  </si>
  <si>
    <t>a.в.р.г</t>
  </si>
  <si>
    <t>3.</t>
  </si>
  <si>
    <t>T.summ.e.o.</t>
  </si>
  <si>
    <t>n.summ</t>
  </si>
  <si>
    <t>n.бр</t>
  </si>
  <si>
    <t>сутки</t>
  </si>
  <si>
    <t>время</t>
  </si>
  <si>
    <t>8.00</t>
  </si>
  <si>
    <t>19.00</t>
  </si>
  <si>
    <t>бригады</t>
  </si>
  <si>
    <t>ЗР</t>
  </si>
  <si>
    <t>ЕО</t>
  </si>
  <si>
    <t>явочная численность водителей</t>
  </si>
  <si>
    <t>Ч.в.я</t>
  </si>
  <si>
    <t>Ч.в.с.</t>
  </si>
  <si>
    <t>5.2 численость рабочих занятых в обслуживанием и ромонтом п.с.</t>
  </si>
  <si>
    <t>Ф.р</t>
  </si>
  <si>
    <t>Ч.р.тр</t>
  </si>
  <si>
    <t>Ч.р.то2</t>
  </si>
  <si>
    <t>Ч.р.то1</t>
  </si>
  <si>
    <t>Ч.р.ео</t>
  </si>
  <si>
    <t xml:space="preserve"> </t>
  </si>
  <si>
    <t>Чр.всп.</t>
  </si>
  <si>
    <t>5.3 кол. мастеров</t>
  </si>
  <si>
    <t>6. расчет площади производственных помещений</t>
  </si>
  <si>
    <t>n.ео.тр</t>
  </si>
  <si>
    <t>n.d</t>
  </si>
  <si>
    <t>n.eo</t>
  </si>
  <si>
    <t>4 линии по 2 места</t>
  </si>
  <si>
    <t>колл. трол. мест. для непланового ремонта</t>
  </si>
  <si>
    <t>n.нр</t>
  </si>
  <si>
    <t>1 mesto</t>
  </si>
  <si>
    <t>n.тр</t>
  </si>
  <si>
    <t>n.то-1</t>
  </si>
  <si>
    <t>n.то-2</t>
  </si>
  <si>
    <t>Lму</t>
  </si>
  <si>
    <t>l1</t>
  </si>
  <si>
    <t>l2</t>
  </si>
  <si>
    <t>l3</t>
  </si>
  <si>
    <t>lпс</t>
  </si>
  <si>
    <t>А</t>
  </si>
  <si>
    <t>Lмт</t>
  </si>
  <si>
    <t>Lоэ</t>
  </si>
  <si>
    <t>Lмк</t>
  </si>
  <si>
    <t>расчет кузовного и молярного отделения</t>
  </si>
  <si>
    <t>n.тр.м</t>
  </si>
  <si>
    <t>Тм</t>
  </si>
  <si>
    <t>n.к.тр</t>
  </si>
  <si>
    <t>EO</t>
  </si>
  <si>
    <t xml:space="preserve">колл. раб. </t>
  </si>
  <si>
    <t>f1</t>
  </si>
  <si>
    <t>f0</t>
  </si>
  <si>
    <t>наим.учат.</t>
  </si>
  <si>
    <t>общая</t>
  </si>
  <si>
    <t>fп</t>
  </si>
  <si>
    <t>агрегатное</t>
  </si>
  <si>
    <t>электро-техническое</t>
  </si>
  <si>
    <t>кузнечно-рессорная</t>
  </si>
  <si>
    <t>сварочное</t>
  </si>
  <si>
    <t>столярное</t>
  </si>
  <si>
    <t>обойное</t>
  </si>
  <si>
    <t>слесарно кузовное</t>
  </si>
  <si>
    <t>слесарно-мех</t>
  </si>
  <si>
    <t>аккумуляторная</t>
  </si>
  <si>
    <t>шиномонтажная</t>
  </si>
  <si>
    <t>7.расчет площади</t>
  </si>
  <si>
    <t>Vk</t>
  </si>
  <si>
    <t>Nkomp</t>
  </si>
  <si>
    <t>2+1=</t>
  </si>
  <si>
    <t>Fk</t>
  </si>
  <si>
    <t>Pct</t>
  </si>
  <si>
    <t>n.ct</t>
  </si>
  <si>
    <t>ft</t>
  </si>
  <si>
    <t>Fm</t>
  </si>
  <si>
    <t>Fkl</t>
  </si>
  <si>
    <t>favt</t>
  </si>
  <si>
    <t>f.gsm.</t>
  </si>
  <si>
    <t>L</t>
  </si>
  <si>
    <t>n.z</t>
  </si>
  <si>
    <t>n.oz</t>
  </si>
  <si>
    <t>n.ozp</t>
  </si>
  <si>
    <t>fkl</t>
  </si>
  <si>
    <t>n.ozk</t>
  </si>
  <si>
    <t>Agv</t>
  </si>
  <si>
    <t>Cgv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</si>
</sst>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#0.0"/>
    <numFmt numFmtId="166" formatCode="#0.00"/>
    <numFmt numFmtId="167" formatCode="#0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2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20" fontId="0" fillId="0" borderId="0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20" fontId="0" fillId="0" borderId="16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33" borderId="13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33" borderId="21" xfId="0" applyNumberFormat="1" applyFont="1" applyFill="1" applyBorder="1" applyAlignment="1">
      <alignment/>
    </xf>
    <xf numFmtId="164" fontId="0" fillId="33" borderId="23" xfId="0" applyNumberFormat="1" applyFont="1" applyFill="1" applyBorder="1" applyAlignment="1">
      <alignment/>
    </xf>
    <xf numFmtId="1" fontId="0" fillId="33" borderId="23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0" fontId="0" fillId="33" borderId="13" xfId="0" applyNumberFormat="1" applyFont="1" applyFill="1" applyBorder="1" applyAlignment="1">
      <alignment/>
    </xf>
    <xf numFmtId="164" fontId="0" fillId="33" borderId="14" xfId="0" applyNumberFormat="1" applyFont="1" applyFill="1" applyBorder="1" applyAlignment="1">
      <alignment/>
    </xf>
    <xf numFmtId="0" fontId="0" fillId="33" borderId="15" xfId="0" applyNumberFormat="1" applyFont="1" applyFill="1" applyBorder="1" applyAlignment="1">
      <alignment/>
    </xf>
    <xf numFmtId="164" fontId="0" fillId="33" borderId="17" xfId="0" applyNumberFormat="1" applyFont="1" applyFill="1" applyBorder="1" applyAlignment="1">
      <alignment/>
    </xf>
    <xf numFmtId="164" fontId="0" fillId="33" borderId="12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0" fillId="33" borderId="13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164" fontId="0" fillId="33" borderId="15" xfId="0" applyNumberFormat="1" applyFont="1" applyFill="1" applyBorder="1" applyAlignment="1">
      <alignment/>
    </xf>
    <xf numFmtId="0" fontId="0" fillId="33" borderId="14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5" fontId="0" fillId="0" borderId="19" xfId="0" applyNumberFormat="1" applyFont="1" applyFill="1" applyBorder="1" applyAlignment="1">
      <alignment/>
    </xf>
    <xf numFmtId="165" fontId="0" fillId="0" borderId="19" xfId="0" applyNumberFormat="1" applyFont="1" applyFill="1" applyBorder="1" applyAlignment="1">
      <alignment/>
    </xf>
    <xf numFmtId="166" fontId="0" fillId="0" borderId="19" xfId="0" applyNumberFormat="1" applyFont="1" applyFill="1" applyBorder="1" applyAlignment="1">
      <alignment/>
    </xf>
    <xf numFmtId="166" fontId="0" fillId="0" borderId="19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3" xfId="0" applyNumberFormat="1" applyFont="1" applyFill="1" applyBorder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1"/>
  <sheetViews>
    <sheetView tabSelected="1" zoomScalePageLayoutView="0" workbookViewId="0" topLeftCell="A268">
      <selection activeCell="E286" sqref="E286"/>
    </sheetView>
  </sheetViews>
  <sheetFormatPr defaultColWidth="9.140625" defaultRowHeight="15"/>
  <cols>
    <col min="7" max="7" width="10.28125" style="0" bestFit="1" customWidth="1"/>
    <col min="15" max="15" width="9.57421875" style="0" customWidth="1"/>
  </cols>
  <sheetData>
    <row r="1" spans="1:12" ht="15">
      <c r="A1" s="7"/>
      <c r="B1" s="8"/>
      <c r="C1" s="25" t="s">
        <v>0</v>
      </c>
      <c r="D1" s="8"/>
      <c r="E1" s="22" t="s">
        <v>1</v>
      </c>
      <c r="F1" s="22"/>
      <c r="G1" s="24"/>
      <c r="H1" s="25" t="s">
        <v>2</v>
      </c>
      <c r="I1" s="23"/>
      <c r="J1" s="23"/>
      <c r="K1" s="23"/>
      <c r="L1" s="24"/>
    </row>
    <row r="2" spans="1:12" ht="15">
      <c r="A2" s="26" t="s">
        <v>3</v>
      </c>
      <c r="B2" s="27"/>
      <c r="C2" s="25" t="s">
        <v>4</v>
      </c>
      <c r="D2" s="25" t="s">
        <v>5</v>
      </c>
      <c r="E2" s="22" t="s">
        <v>6</v>
      </c>
      <c r="F2" s="25" t="s">
        <v>7</v>
      </c>
      <c r="G2" s="25" t="s">
        <v>8</v>
      </c>
      <c r="H2" s="17" t="s">
        <v>9</v>
      </c>
      <c r="I2" s="24" t="s">
        <v>10</v>
      </c>
      <c r="J2" s="25" t="s">
        <v>9</v>
      </c>
      <c r="K2" s="25" t="s">
        <v>11</v>
      </c>
      <c r="L2" s="25" t="s">
        <v>8</v>
      </c>
    </row>
    <row r="3" spans="1:12" ht="15">
      <c r="A3" s="10"/>
      <c r="B3" s="11"/>
      <c r="C3" s="18">
        <v>24.8</v>
      </c>
      <c r="D3" s="21">
        <v>79</v>
      </c>
      <c r="E3" s="13">
        <v>0.24305555555555555</v>
      </c>
      <c r="F3" s="13">
        <v>0.7937500000000001</v>
      </c>
      <c r="G3" s="11">
        <v>20</v>
      </c>
      <c r="H3" s="11">
        <v>20</v>
      </c>
      <c r="I3" s="11">
        <v>0</v>
      </c>
      <c r="J3" s="11">
        <v>26</v>
      </c>
      <c r="K3" s="11">
        <v>0</v>
      </c>
      <c r="L3" s="12">
        <v>0</v>
      </c>
    </row>
    <row r="4" spans="1:12" ht="15">
      <c r="A4" s="10"/>
      <c r="B4" s="11"/>
      <c r="C4" s="19">
        <v>31.4</v>
      </c>
      <c r="D4" s="19">
        <v>109</v>
      </c>
      <c r="E4" s="13">
        <v>0.19444444444444445</v>
      </c>
      <c r="F4" s="13">
        <v>0.07361111111111111</v>
      </c>
      <c r="G4" s="11">
        <v>27</v>
      </c>
      <c r="H4" s="11">
        <v>4</v>
      </c>
      <c r="I4" s="11">
        <v>6</v>
      </c>
      <c r="J4" s="11">
        <v>4</v>
      </c>
      <c r="K4" s="11">
        <v>16</v>
      </c>
      <c r="L4" s="12">
        <v>27</v>
      </c>
    </row>
    <row r="5" spans="1:12" ht="15">
      <c r="A5" s="10"/>
      <c r="B5" s="11"/>
      <c r="C5" s="19">
        <v>21.7</v>
      </c>
      <c r="D5" s="19">
        <v>67</v>
      </c>
      <c r="E5" s="13">
        <v>0.2125</v>
      </c>
      <c r="F5" s="13">
        <v>0.024305555555555556</v>
      </c>
      <c r="G5" s="11">
        <v>17</v>
      </c>
      <c r="H5" s="11">
        <v>5</v>
      </c>
      <c r="I5" s="11">
        <v>17</v>
      </c>
      <c r="J5" s="11">
        <v>5</v>
      </c>
      <c r="K5" s="11">
        <v>17</v>
      </c>
      <c r="L5" s="12">
        <v>17</v>
      </c>
    </row>
    <row r="6" spans="1:12" ht="15">
      <c r="A6" s="10"/>
      <c r="B6" s="11"/>
      <c r="C6" s="19">
        <v>30.9</v>
      </c>
      <c r="D6" s="19">
        <v>113</v>
      </c>
      <c r="E6" s="13">
        <v>0.1951388888888889</v>
      </c>
      <c r="F6" s="13">
        <v>0.06319444444444444</v>
      </c>
      <c r="G6" s="11">
        <v>28</v>
      </c>
      <c r="H6" s="11">
        <v>7</v>
      </c>
      <c r="I6" s="11">
        <v>9</v>
      </c>
      <c r="J6" s="11">
        <v>7</v>
      </c>
      <c r="K6" s="11">
        <v>28</v>
      </c>
      <c r="L6" s="12">
        <v>28</v>
      </c>
    </row>
    <row r="7" spans="1:12" ht="15">
      <c r="A7" s="10"/>
      <c r="B7" s="11"/>
      <c r="C7" s="19">
        <v>33.1</v>
      </c>
      <c r="D7" s="19">
        <v>109</v>
      </c>
      <c r="E7" s="13">
        <v>0.18888888888888888</v>
      </c>
      <c r="F7" s="13">
        <v>0.06388888888888888</v>
      </c>
      <c r="G7" s="11">
        <v>22</v>
      </c>
      <c r="H7" s="11">
        <v>6</v>
      </c>
      <c r="I7" s="11">
        <v>11</v>
      </c>
      <c r="J7" s="11">
        <v>6</v>
      </c>
      <c r="K7" s="11">
        <v>16</v>
      </c>
      <c r="L7" s="12">
        <v>22</v>
      </c>
    </row>
    <row r="8" spans="1:12" ht="15">
      <c r="A8" s="10"/>
      <c r="B8" s="11"/>
      <c r="C8" s="19">
        <v>24.3</v>
      </c>
      <c r="D8" s="19">
        <v>78</v>
      </c>
      <c r="E8" s="13">
        <v>0.21180555555555555</v>
      </c>
      <c r="F8" s="13">
        <v>0.8173611111111111</v>
      </c>
      <c r="G8" s="11">
        <v>26</v>
      </c>
      <c r="H8" s="11">
        <v>20</v>
      </c>
      <c r="I8" s="11">
        <v>0</v>
      </c>
      <c r="J8" s="11">
        <v>20</v>
      </c>
      <c r="K8" s="11">
        <v>0</v>
      </c>
      <c r="L8" s="12">
        <v>0</v>
      </c>
    </row>
    <row r="9" spans="1:12" ht="15">
      <c r="A9" s="10"/>
      <c r="B9" s="11"/>
      <c r="C9" s="19">
        <v>30.5</v>
      </c>
      <c r="D9" s="19">
        <v>102</v>
      </c>
      <c r="E9" s="13">
        <v>0.23680555555555557</v>
      </c>
      <c r="F9" s="13">
        <v>0.7881944444444445</v>
      </c>
      <c r="G9" s="11">
        <v>0</v>
      </c>
      <c r="H9" s="11">
        <v>26</v>
      </c>
      <c r="I9" s="11">
        <v>0</v>
      </c>
      <c r="J9" s="11">
        <v>26</v>
      </c>
      <c r="K9" s="11">
        <v>0</v>
      </c>
      <c r="L9" s="12">
        <v>0</v>
      </c>
    </row>
    <row r="10" spans="1:12" ht="15">
      <c r="A10" s="10"/>
      <c r="B10" s="11"/>
      <c r="C10" s="19">
        <v>25.5</v>
      </c>
      <c r="D10" s="19">
        <v>88</v>
      </c>
      <c r="E10" s="13">
        <v>0.2986111111111111</v>
      </c>
      <c r="F10" s="13">
        <v>0.8263888888888888</v>
      </c>
      <c r="G10" s="11">
        <v>0</v>
      </c>
      <c r="H10" s="11">
        <v>29</v>
      </c>
      <c r="I10" s="11">
        <v>29</v>
      </c>
      <c r="J10" s="11">
        <v>29</v>
      </c>
      <c r="K10" s="11">
        <v>29</v>
      </c>
      <c r="L10" s="12">
        <v>0</v>
      </c>
    </row>
    <row r="11" spans="1:12" ht="15">
      <c r="A11" s="14"/>
      <c r="B11" s="15"/>
      <c r="C11" s="20">
        <v>19.1</v>
      </c>
      <c r="D11" s="20">
        <v>67</v>
      </c>
      <c r="E11" s="16">
        <v>0.2138888888888889</v>
      </c>
      <c r="F11" s="16">
        <v>0.9375</v>
      </c>
      <c r="G11" s="15">
        <v>0</v>
      </c>
      <c r="H11" s="15">
        <v>22</v>
      </c>
      <c r="I11" s="15">
        <v>22</v>
      </c>
      <c r="J11" s="15">
        <v>34</v>
      </c>
      <c r="K11" s="15">
        <v>34</v>
      </c>
      <c r="L11" s="17">
        <v>0</v>
      </c>
    </row>
    <row r="13" spans="1:12" ht="15">
      <c r="A13" s="7"/>
      <c r="B13" s="8"/>
      <c r="C13" s="22" t="str">
        <f aca="true" t="shared" si="0" ref="C13:C23">C1</f>
        <v>оборотный рейс</v>
      </c>
      <c r="D13" s="24"/>
      <c r="E13" s="22" t="str">
        <f>E1</f>
        <v>время работы на маршруте</v>
      </c>
      <c r="F13" s="23"/>
      <c r="G13" s="24"/>
      <c r="H13" s="8" t="str">
        <f>H1</f>
        <v>средний интервал движения</v>
      </c>
      <c r="I13" s="8"/>
      <c r="J13" s="8"/>
      <c r="K13" s="8"/>
      <c r="L13" s="9"/>
    </row>
    <row r="14" spans="1:12" ht="15">
      <c r="A14" s="26" t="s">
        <v>12</v>
      </c>
      <c r="B14" s="27"/>
      <c r="C14" s="25" t="str">
        <f t="shared" si="0"/>
        <v>км</v>
      </c>
      <c r="D14" s="25" t="str">
        <f aca="true" t="shared" si="1" ref="D14:D23">D2</f>
        <v>мин</v>
      </c>
      <c r="E14" s="25" t="str">
        <f>E2</f>
        <v>нач.раб.</v>
      </c>
      <c r="F14" s="25" t="str">
        <f>F2</f>
        <v>кон.раб.</v>
      </c>
      <c r="G14" s="25" t="str">
        <f>G2</f>
        <v>деж.гр</v>
      </c>
      <c r="H14" s="25" t="str">
        <f>H2</f>
        <v>пик</v>
      </c>
      <c r="I14" s="25" t="str">
        <f>I2</f>
        <v>межпик</v>
      </c>
      <c r="J14" s="25" t="str">
        <f>J2</f>
        <v>пик</v>
      </c>
      <c r="K14" s="25" t="str">
        <f>K2</f>
        <v>вечер</v>
      </c>
      <c r="L14" s="25" t="str">
        <f>L2</f>
        <v>деж.гр</v>
      </c>
    </row>
    <row r="15" spans="1:12" ht="15">
      <c r="A15" s="10"/>
      <c r="B15" s="11"/>
      <c r="C15" s="21">
        <f t="shared" si="0"/>
        <v>24.8</v>
      </c>
      <c r="D15" s="21">
        <f t="shared" si="1"/>
        <v>79</v>
      </c>
      <c r="E15" s="11"/>
      <c r="F15" s="11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2">
        <v>0</v>
      </c>
    </row>
    <row r="16" spans="1:12" ht="15">
      <c r="A16" s="10"/>
      <c r="B16" s="11"/>
      <c r="C16" s="19">
        <f t="shared" si="0"/>
        <v>31.4</v>
      </c>
      <c r="D16" s="19">
        <f t="shared" si="1"/>
        <v>109</v>
      </c>
      <c r="E16" s="13">
        <v>0.19652777777777777</v>
      </c>
      <c r="F16" s="13">
        <v>0.07430555555555556</v>
      </c>
      <c r="G16" s="11">
        <v>27</v>
      </c>
      <c r="H16" s="11">
        <v>5</v>
      </c>
      <c r="I16" s="11">
        <v>5</v>
      </c>
      <c r="J16" s="11">
        <v>5</v>
      </c>
      <c r="K16" s="11">
        <v>10</v>
      </c>
      <c r="L16" s="12">
        <v>27</v>
      </c>
    </row>
    <row r="17" spans="1:12" ht="15">
      <c r="A17" s="10"/>
      <c r="B17" s="11"/>
      <c r="C17" s="19">
        <f t="shared" si="0"/>
        <v>21.7</v>
      </c>
      <c r="D17" s="19">
        <f t="shared" si="1"/>
        <v>67</v>
      </c>
      <c r="E17" s="13">
        <v>0.22013888888888888</v>
      </c>
      <c r="F17" s="13">
        <v>0.024305555555555556</v>
      </c>
      <c r="G17" s="11">
        <v>17</v>
      </c>
      <c r="H17" s="11">
        <v>17</v>
      </c>
      <c r="I17" s="11">
        <v>17</v>
      </c>
      <c r="J17" s="11">
        <v>17</v>
      </c>
      <c r="K17" s="11">
        <v>17</v>
      </c>
      <c r="L17" s="12">
        <v>17</v>
      </c>
    </row>
    <row r="18" spans="1:12" ht="15">
      <c r="A18" s="10"/>
      <c r="B18" s="11"/>
      <c r="C18" s="19">
        <f t="shared" si="0"/>
        <v>30.9</v>
      </c>
      <c r="D18" s="19">
        <f t="shared" si="1"/>
        <v>113</v>
      </c>
      <c r="E18" s="13">
        <v>0.19999999999999998</v>
      </c>
      <c r="F18" s="13">
        <v>0.0763888888888889</v>
      </c>
      <c r="G18" s="11">
        <v>28</v>
      </c>
      <c r="H18" s="11">
        <v>9</v>
      </c>
      <c r="I18" s="11">
        <v>9</v>
      </c>
      <c r="J18" s="11">
        <v>9</v>
      </c>
      <c r="K18" s="11">
        <v>19</v>
      </c>
      <c r="L18" s="12">
        <v>28</v>
      </c>
    </row>
    <row r="19" spans="1:12" ht="15">
      <c r="A19" s="10"/>
      <c r="B19" s="11"/>
      <c r="C19" s="19">
        <f t="shared" si="0"/>
        <v>33.1</v>
      </c>
      <c r="D19" s="19">
        <f t="shared" si="1"/>
        <v>109</v>
      </c>
      <c r="E19" s="13">
        <v>0.18958333333333333</v>
      </c>
      <c r="F19" s="13">
        <v>0.0625</v>
      </c>
      <c r="G19" s="11">
        <v>22</v>
      </c>
      <c r="H19" s="11">
        <v>8</v>
      </c>
      <c r="I19" s="11">
        <v>8</v>
      </c>
      <c r="J19" s="11">
        <v>8</v>
      </c>
      <c r="K19" s="11">
        <v>16</v>
      </c>
      <c r="L19" s="12">
        <v>22</v>
      </c>
    </row>
    <row r="20" spans="1:12" ht="15">
      <c r="A20" s="10"/>
      <c r="B20" s="11"/>
      <c r="C20" s="19">
        <f t="shared" si="0"/>
        <v>24.3</v>
      </c>
      <c r="D20" s="19">
        <f t="shared" si="1"/>
        <v>78</v>
      </c>
      <c r="E20" s="11"/>
      <c r="F20" s="11"/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2">
        <v>0</v>
      </c>
    </row>
    <row r="21" spans="1:12" ht="15">
      <c r="A21" s="10"/>
      <c r="B21" s="11"/>
      <c r="C21" s="19">
        <f t="shared" si="0"/>
        <v>30.5</v>
      </c>
      <c r="D21" s="19">
        <f t="shared" si="1"/>
        <v>102</v>
      </c>
      <c r="E21" s="11"/>
      <c r="F21" s="11"/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2">
        <v>0</v>
      </c>
    </row>
    <row r="22" spans="1:12" ht="15">
      <c r="A22" s="10"/>
      <c r="B22" s="11"/>
      <c r="C22" s="19">
        <f t="shared" si="0"/>
        <v>25.5</v>
      </c>
      <c r="D22" s="19">
        <f t="shared" si="1"/>
        <v>88</v>
      </c>
      <c r="E22" s="13">
        <v>0.3958333333333333</v>
      </c>
      <c r="F22" s="13">
        <v>0.6875</v>
      </c>
      <c r="G22" s="11">
        <v>0</v>
      </c>
      <c r="H22" s="11">
        <v>44</v>
      </c>
      <c r="I22" s="11">
        <v>44</v>
      </c>
      <c r="J22" s="11">
        <v>44</v>
      </c>
      <c r="K22" s="11">
        <v>0</v>
      </c>
      <c r="L22" s="12">
        <v>0</v>
      </c>
    </row>
    <row r="23" spans="1:12" ht="15">
      <c r="A23" s="14"/>
      <c r="B23" s="15"/>
      <c r="C23" s="20">
        <f t="shared" si="0"/>
        <v>19.1</v>
      </c>
      <c r="D23" s="20">
        <f t="shared" si="1"/>
        <v>67</v>
      </c>
      <c r="E23" s="16">
        <v>0.24305555555555555</v>
      </c>
      <c r="F23" s="16">
        <v>0.9125</v>
      </c>
      <c r="G23" s="15">
        <v>0</v>
      </c>
      <c r="H23" s="15">
        <v>22</v>
      </c>
      <c r="I23" s="15">
        <v>22</v>
      </c>
      <c r="J23" s="15">
        <v>22</v>
      </c>
      <c r="K23" s="15">
        <v>34</v>
      </c>
      <c r="L23" s="17">
        <v>0</v>
      </c>
    </row>
    <row r="26" spans="1:15" ht="15">
      <c r="A26" s="7" t="s">
        <v>13</v>
      </c>
      <c r="B26" s="8"/>
      <c r="C26" s="8" t="s">
        <v>14</v>
      </c>
      <c r="D26" s="8" t="s">
        <v>15</v>
      </c>
      <c r="E26" s="9" t="s">
        <v>16</v>
      </c>
      <c r="F26" s="7" t="s">
        <v>17</v>
      </c>
      <c r="G26" s="9"/>
      <c r="H26" s="7" t="s">
        <v>18</v>
      </c>
      <c r="I26" s="9"/>
      <c r="J26" s="7" t="s">
        <v>19</v>
      </c>
      <c r="K26" s="9"/>
      <c r="L26" s="7" t="s">
        <v>20</v>
      </c>
      <c r="M26" s="9"/>
      <c r="N26" s="7" t="s">
        <v>21</v>
      </c>
      <c r="O26" s="9"/>
    </row>
    <row r="27" spans="1:15" ht="15">
      <c r="A27" s="26" t="s">
        <v>22</v>
      </c>
      <c r="B27" s="11"/>
      <c r="C27" s="11"/>
      <c r="D27" s="11"/>
      <c r="E27" s="12"/>
      <c r="F27" s="10" t="s">
        <v>23</v>
      </c>
      <c r="G27" s="12" t="s">
        <v>24</v>
      </c>
      <c r="H27" s="10" t="s">
        <v>25</v>
      </c>
      <c r="I27" s="12" t="s">
        <v>26</v>
      </c>
      <c r="J27" s="10" t="s">
        <v>25</v>
      </c>
      <c r="K27" s="12" t="s">
        <v>26</v>
      </c>
      <c r="L27" s="10" t="s">
        <v>25</v>
      </c>
      <c r="M27" s="12" t="s">
        <v>26</v>
      </c>
      <c r="N27" s="10" t="s">
        <v>25</v>
      </c>
      <c r="O27" s="12" t="s">
        <v>26</v>
      </c>
    </row>
    <row r="28" spans="1:15" ht="15">
      <c r="A28" s="10"/>
      <c r="B28" s="13">
        <f aca="true" t="shared" si="2" ref="B28:B36">F3</f>
        <v>0.7937500000000001</v>
      </c>
      <c r="C28" s="11">
        <f aca="true" t="shared" si="3" ref="C28:C36">C15</f>
        <v>24.8</v>
      </c>
      <c r="D28" s="31">
        <f aca="true" t="shared" si="4" ref="D28:D36">(C28/D15)*60</f>
        <v>18.835443037974684</v>
      </c>
      <c r="E28" s="12">
        <f aca="true" t="shared" si="5" ref="E28:E36">D15</f>
        <v>79</v>
      </c>
      <c r="F28" s="10">
        <f aca="true" t="shared" si="6" ref="F28:F36">H3</f>
        <v>20</v>
      </c>
      <c r="G28" s="29">
        <f aca="true" t="shared" si="7" ref="G28:G36">E28/F28</f>
        <v>3.95</v>
      </c>
      <c r="H28" s="10">
        <f aca="true" t="shared" si="8" ref="H28:H36">I3</f>
        <v>0</v>
      </c>
      <c r="I28" s="29">
        <v>0</v>
      </c>
      <c r="J28" s="10">
        <f aca="true" t="shared" si="9" ref="J28:J36">J3</f>
        <v>26</v>
      </c>
      <c r="K28" s="29">
        <f aca="true" t="shared" si="10" ref="K28:K36">E28/J28</f>
        <v>3.0384615384615383</v>
      </c>
      <c r="L28" s="10">
        <f aca="true" t="shared" si="11" ref="L28:L36">K3</f>
        <v>0</v>
      </c>
      <c r="M28" s="29">
        <v>0</v>
      </c>
      <c r="N28" s="10">
        <f aca="true" t="shared" si="12" ref="N28:N36">L3</f>
        <v>0</v>
      </c>
      <c r="O28" s="29">
        <v>0</v>
      </c>
    </row>
    <row r="29" spans="1:15" ht="15">
      <c r="A29" s="10"/>
      <c r="B29" s="13">
        <f t="shared" si="2"/>
        <v>0.07361111111111111</v>
      </c>
      <c r="C29" s="11">
        <f t="shared" si="3"/>
        <v>31.4</v>
      </c>
      <c r="D29" s="31">
        <f t="shared" si="4"/>
        <v>17.284403669724767</v>
      </c>
      <c r="E29" s="12">
        <f t="shared" si="5"/>
        <v>109</v>
      </c>
      <c r="F29" s="10">
        <f t="shared" si="6"/>
        <v>4</v>
      </c>
      <c r="G29" s="29">
        <f t="shared" si="7"/>
        <v>27.25</v>
      </c>
      <c r="H29" s="10">
        <f t="shared" si="8"/>
        <v>6</v>
      </c>
      <c r="I29" s="29">
        <f>E29/H29</f>
        <v>18.166666666666668</v>
      </c>
      <c r="J29" s="10">
        <f t="shared" si="9"/>
        <v>4</v>
      </c>
      <c r="K29" s="29">
        <f t="shared" si="10"/>
        <v>27.25</v>
      </c>
      <c r="L29" s="10">
        <f t="shared" si="11"/>
        <v>16</v>
      </c>
      <c r="M29" s="29">
        <f>E29/L29</f>
        <v>6.8125</v>
      </c>
      <c r="N29" s="10">
        <f t="shared" si="12"/>
        <v>27</v>
      </c>
      <c r="O29" s="29">
        <f>E29/N29</f>
        <v>4.037037037037037</v>
      </c>
    </row>
    <row r="30" spans="1:15" ht="15">
      <c r="A30" s="10"/>
      <c r="B30" s="13">
        <f t="shared" si="2"/>
        <v>0.024305555555555556</v>
      </c>
      <c r="C30" s="11">
        <f t="shared" si="3"/>
        <v>21.7</v>
      </c>
      <c r="D30" s="31">
        <f t="shared" si="4"/>
        <v>19.432835820895523</v>
      </c>
      <c r="E30" s="12">
        <f t="shared" si="5"/>
        <v>67</v>
      </c>
      <c r="F30" s="10">
        <f t="shared" si="6"/>
        <v>5</v>
      </c>
      <c r="G30" s="29">
        <f t="shared" si="7"/>
        <v>13.4</v>
      </c>
      <c r="H30" s="10">
        <f t="shared" si="8"/>
        <v>17</v>
      </c>
      <c r="I30" s="29">
        <f>E30/H30</f>
        <v>3.9411764705882355</v>
      </c>
      <c r="J30" s="10">
        <f t="shared" si="9"/>
        <v>5</v>
      </c>
      <c r="K30" s="29">
        <f t="shared" si="10"/>
        <v>13.4</v>
      </c>
      <c r="L30" s="10">
        <f t="shared" si="11"/>
        <v>17</v>
      </c>
      <c r="M30" s="29">
        <f>E30/L30</f>
        <v>3.9411764705882355</v>
      </c>
      <c r="N30" s="10">
        <f t="shared" si="12"/>
        <v>17</v>
      </c>
      <c r="O30" s="29">
        <f>E30/N30</f>
        <v>3.9411764705882355</v>
      </c>
    </row>
    <row r="31" spans="1:15" ht="15">
      <c r="A31" s="10"/>
      <c r="B31" s="13">
        <f t="shared" si="2"/>
        <v>0.06319444444444444</v>
      </c>
      <c r="C31" s="11">
        <f t="shared" si="3"/>
        <v>30.9</v>
      </c>
      <c r="D31" s="31">
        <f t="shared" si="4"/>
        <v>16.4070796460177</v>
      </c>
      <c r="E31" s="12">
        <f t="shared" si="5"/>
        <v>113</v>
      </c>
      <c r="F31" s="10">
        <f t="shared" si="6"/>
        <v>7</v>
      </c>
      <c r="G31" s="29">
        <f t="shared" si="7"/>
        <v>16.142857142857142</v>
      </c>
      <c r="H31" s="10">
        <f t="shared" si="8"/>
        <v>9</v>
      </c>
      <c r="I31" s="29">
        <f>E31/H31</f>
        <v>12.555555555555555</v>
      </c>
      <c r="J31" s="10">
        <f t="shared" si="9"/>
        <v>7</v>
      </c>
      <c r="K31" s="29">
        <f t="shared" si="10"/>
        <v>16.142857142857142</v>
      </c>
      <c r="L31" s="10">
        <f t="shared" si="11"/>
        <v>28</v>
      </c>
      <c r="M31" s="29">
        <f>E31/L31</f>
        <v>4.035714285714286</v>
      </c>
      <c r="N31" s="10">
        <f t="shared" si="12"/>
        <v>28</v>
      </c>
      <c r="O31" s="29">
        <f>E31/N31</f>
        <v>4.035714285714286</v>
      </c>
    </row>
    <row r="32" spans="1:15" ht="15">
      <c r="A32" s="10"/>
      <c r="B32" s="13">
        <f t="shared" si="2"/>
        <v>0.06388888888888888</v>
      </c>
      <c r="C32" s="11">
        <f t="shared" si="3"/>
        <v>33.1</v>
      </c>
      <c r="D32" s="31">
        <f t="shared" si="4"/>
        <v>18.220183486238533</v>
      </c>
      <c r="E32" s="12">
        <f t="shared" si="5"/>
        <v>109</v>
      </c>
      <c r="F32" s="10">
        <f t="shared" si="6"/>
        <v>6</v>
      </c>
      <c r="G32" s="29">
        <f t="shared" si="7"/>
        <v>18.166666666666668</v>
      </c>
      <c r="H32" s="10">
        <f t="shared" si="8"/>
        <v>11</v>
      </c>
      <c r="I32" s="29">
        <f>E32/H32</f>
        <v>9.909090909090908</v>
      </c>
      <c r="J32" s="10">
        <f t="shared" si="9"/>
        <v>6</v>
      </c>
      <c r="K32" s="29">
        <f t="shared" si="10"/>
        <v>18.166666666666668</v>
      </c>
      <c r="L32" s="10">
        <f t="shared" si="11"/>
        <v>16</v>
      </c>
      <c r="M32" s="29">
        <f>E32/L32</f>
        <v>6.8125</v>
      </c>
      <c r="N32" s="10">
        <f t="shared" si="12"/>
        <v>22</v>
      </c>
      <c r="O32" s="29">
        <f>E32/N32</f>
        <v>4.954545454545454</v>
      </c>
    </row>
    <row r="33" spans="1:15" ht="15">
      <c r="A33" s="10"/>
      <c r="B33" s="13">
        <f t="shared" si="2"/>
        <v>0.8173611111111111</v>
      </c>
      <c r="C33" s="11">
        <f t="shared" si="3"/>
        <v>24.3</v>
      </c>
      <c r="D33" s="31">
        <f t="shared" si="4"/>
        <v>18.692307692307693</v>
      </c>
      <c r="E33" s="12">
        <f t="shared" si="5"/>
        <v>78</v>
      </c>
      <c r="F33" s="10">
        <f t="shared" si="6"/>
        <v>20</v>
      </c>
      <c r="G33" s="29">
        <f t="shared" si="7"/>
        <v>3.9</v>
      </c>
      <c r="H33" s="10">
        <f t="shared" si="8"/>
        <v>0</v>
      </c>
      <c r="I33" s="29">
        <v>0</v>
      </c>
      <c r="J33" s="10">
        <f t="shared" si="9"/>
        <v>20</v>
      </c>
      <c r="K33" s="29">
        <f t="shared" si="10"/>
        <v>3.9</v>
      </c>
      <c r="L33" s="10">
        <f t="shared" si="11"/>
        <v>0</v>
      </c>
      <c r="M33" s="29">
        <v>0</v>
      </c>
      <c r="N33" s="10">
        <f t="shared" si="12"/>
        <v>0</v>
      </c>
      <c r="O33" s="29">
        <v>0</v>
      </c>
    </row>
    <row r="34" spans="1:15" ht="15">
      <c r="A34" s="10"/>
      <c r="B34" s="13">
        <f t="shared" si="2"/>
        <v>0.7881944444444445</v>
      </c>
      <c r="C34" s="11">
        <f t="shared" si="3"/>
        <v>30.5</v>
      </c>
      <c r="D34" s="31">
        <f t="shared" si="4"/>
        <v>17.941176470588236</v>
      </c>
      <c r="E34" s="12">
        <f t="shared" si="5"/>
        <v>102</v>
      </c>
      <c r="F34" s="10">
        <f t="shared" si="6"/>
        <v>26</v>
      </c>
      <c r="G34" s="29">
        <f t="shared" si="7"/>
        <v>3.923076923076923</v>
      </c>
      <c r="H34" s="10">
        <f t="shared" si="8"/>
        <v>0</v>
      </c>
      <c r="I34" s="29">
        <v>0</v>
      </c>
      <c r="J34" s="10">
        <f t="shared" si="9"/>
        <v>26</v>
      </c>
      <c r="K34" s="29">
        <f t="shared" si="10"/>
        <v>3.923076923076923</v>
      </c>
      <c r="L34" s="10">
        <f t="shared" si="11"/>
        <v>0</v>
      </c>
      <c r="M34" s="29">
        <v>0</v>
      </c>
      <c r="N34" s="10">
        <f t="shared" si="12"/>
        <v>0</v>
      </c>
      <c r="O34" s="29">
        <v>0</v>
      </c>
    </row>
    <row r="35" spans="1:15" ht="15">
      <c r="A35" s="10"/>
      <c r="B35" s="13">
        <f t="shared" si="2"/>
        <v>0.8263888888888888</v>
      </c>
      <c r="C35" s="11">
        <f t="shared" si="3"/>
        <v>25.5</v>
      </c>
      <c r="D35" s="31">
        <f t="shared" si="4"/>
        <v>17.386363636363637</v>
      </c>
      <c r="E35" s="12">
        <f t="shared" si="5"/>
        <v>88</v>
      </c>
      <c r="F35" s="10">
        <f t="shared" si="6"/>
        <v>29</v>
      </c>
      <c r="G35" s="29">
        <f t="shared" si="7"/>
        <v>3.0344827586206895</v>
      </c>
      <c r="H35" s="10">
        <f t="shared" si="8"/>
        <v>29</v>
      </c>
      <c r="I35" s="29">
        <f>E35/H35</f>
        <v>3.0344827586206895</v>
      </c>
      <c r="J35" s="10">
        <f t="shared" si="9"/>
        <v>29</v>
      </c>
      <c r="K35" s="29">
        <f t="shared" si="10"/>
        <v>3.0344827586206895</v>
      </c>
      <c r="L35" s="10">
        <f t="shared" si="11"/>
        <v>29</v>
      </c>
      <c r="M35" s="29">
        <f>E35/L35</f>
        <v>3.0344827586206895</v>
      </c>
      <c r="N35" s="10">
        <f t="shared" si="12"/>
        <v>0</v>
      </c>
      <c r="O35" s="29">
        <v>0</v>
      </c>
    </row>
    <row r="36" spans="1:15" ht="15">
      <c r="A36" s="14"/>
      <c r="B36" s="16">
        <f t="shared" si="2"/>
        <v>0.9375</v>
      </c>
      <c r="C36" s="15">
        <f t="shared" si="3"/>
        <v>19.1</v>
      </c>
      <c r="D36" s="32">
        <f t="shared" si="4"/>
        <v>17.104477611940297</v>
      </c>
      <c r="E36" s="17">
        <f t="shared" si="5"/>
        <v>67</v>
      </c>
      <c r="F36" s="14">
        <f t="shared" si="6"/>
        <v>22</v>
      </c>
      <c r="G36" s="30">
        <f t="shared" si="7"/>
        <v>3.0454545454545454</v>
      </c>
      <c r="H36" s="14">
        <f t="shared" si="8"/>
        <v>22</v>
      </c>
      <c r="I36" s="30">
        <f>E36/H36</f>
        <v>3.0454545454545454</v>
      </c>
      <c r="J36" s="14">
        <f t="shared" si="9"/>
        <v>34</v>
      </c>
      <c r="K36" s="30">
        <f t="shared" si="10"/>
        <v>1.9705882352941178</v>
      </c>
      <c r="L36" s="14">
        <f t="shared" si="11"/>
        <v>34</v>
      </c>
      <c r="M36" s="30">
        <f>E36/L36</f>
        <v>1.9705882352941178</v>
      </c>
      <c r="N36" s="14">
        <f t="shared" si="12"/>
        <v>0</v>
      </c>
      <c r="O36" s="30">
        <v>0</v>
      </c>
    </row>
    <row r="37" spans="6:15" ht="15">
      <c r="F37" s="103">
        <f aca="true" t="shared" si="13" ref="F37:O37">SUM(F28:F36)</f>
        <v>139</v>
      </c>
      <c r="G37" s="104">
        <f t="shared" si="13"/>
        <v>92.81253803667597</v>
      </c>
      <c r="H37" s="103">
        <f t="shared" si="13"/>
        <v>94</v>
      </c>
      <c r="I37" s="104">
        <f t="shared" si="13"/>
        <v>50.652426905976604</v>
      </c>
      <c r="J37" s="103">
        <f t="shared" si="13"/>
        <v>157</v>
      </c>
      <c r="K37" s="104">
        <f t="shared" si="13"/>
        <v>90.82613326497707</v>
      </c>
      <c r="L37" s="103">
        <f t="shared" si="13"/>
        <v>140</v>
      </c>
      <c r="M37" s="104">
        <f t="shared" si="13"/>
        <v>26.60696175021733</v>
      </c>
      <c r="N37" s="103">
        <f t="shared" si="13"/>
        <v>94</v>
      </c>
      <c r="O37" s="104">
        <f t="shared" si="13"/>
        <v>16.96847324788501</v>
      </c>
    </row>
    <row r="39" spans="1:15" ht="15">
      <c r="A39" s="7" t="str">
        <f>A26</f>
        <v>окончание работы</v>
      </c>
      <c r="B39" s="8"/>
      <c r="C39" s="8" t="str">
        <f>C26</f>
        <v>S,km</v>
      </c>
      <c r="D39" s="8" t="str">
        <f>D26</f>
        <v>V,km/h</v>
      </c>
      <c r="E39" s="9" t="str">
        <f>E26</f>
        <v>T(i),min</v>
      </c>
      <c r="F39" s="7" t="str">
        <f>F26</f>
        <v>6-9,00</v>
      </c>
      <c r="G39" s="9"/>
      <c r="H39" s="7" t="str">
        <f>H26</f>
        <v>9-15,00</v>
      </c>
      <c r="I39" s="9"/>
      <c r="J39" s="7" t="str">
        <f>J26</f>
        <v>15-19,00</v>
      </c>
      <c r="K39" s="9"/>
      <c r="L39" s="7" t="str">
        <f>L26</f>
        <v>19-22,00</v>
      </c>
      <c r="M39" s="9"/>
      <c r="N39" s="7" t="str">
        <f>N26</f>
        <v>22,00 later</v>
      </c>
      <c r="O39" s="9"/>
    </row>
    <row r="40" spans="1:15" ht="15">
      <c r="A40" s="26" t="s">
        <v>27</v>
      </c>
      <c r="B40" s="11"/>
      <c r="C40" s="11"/>
      <c r="D40" s="11"/>
      <c r="E40" s="12"/>
      <c r="F40" s="10" t="str">
        <f>F27</f>
        <v>ЧПУ,t</v>
      </c>
      <c r="G40" s="12" t="str">
        <f>G27</f>
        <v>ЧПУ,n</v>
      </c>
      <c r="H40" s="10" t="str">
        <f>H27</f>
        <v>t</v>
      </c>
      <c r="I40" s="12" t="str">
        <f>I27</f>
        <v>n</v>
      </c>
      <c r="J40" s="10" t="str">
        <f>J27</f>
        <v>t</v>
      </c>
      <c r="K40" s="12" t="str">
        <f>K27</f>
        <v>n</v>
      </c>
      <c r="L40" s="10" t="str">
        <f>L27</f>
        <v>t</v>
      </c>
      <c r="M40" s="12" t="str">
        <f>M27</f>
        <v>n</v>
      </c>
      <c r="N40" s="10" t="str">
        <f>N27</f>
        <v>t</v>
      </c>
      <c r="O40" s="12" t="str">
        <f>O27</f>
        <v>n</v>
      </c>
    </row>
    <row r="41" spans="1:15" ht="15">
      <c r="A41" s="10"/>
      <c r="B41" s="11"/>
      <c r="C41" s="11">
        <f aca="true" t="shared" si="14" ref="C41:E49">C28</f>
        <v>24.8</v>
      </c>
      <c r="D41" s="31">
        <f t="shared" si="14"/>
        <v>18.835443037974684</v>
      </c>
      <c r="E41" s="12">
        <f t="shared" si="14"/>
        <v>79</v>
      </c>
      <c r="F41" s="10">
        <f aca="true" t="shared" si="15" ref="F41:F49">H15</f>
        <v>0</v>
      </c>
      <c r="G41" s="29">
        <v>0</v>
      </c>
      <c r="H41" s="28">
        <f aca="true" t="shared" si="16" ref="H41:H49">I15</f>
        <v>0</v>
      </c>
      <c r="I41" s="29">
        <v>0</v>
      </c>
      <c r="J41" s="28">
        <f aca="true" t="shared" si="17" ref="J41:J49">J15</f>
        <v>0</v>
      </c>
      <c r="K41" s="29">
        <v>0</v>
      </c>
      <c r="L41" s="28">
        <f aca="true" t="shared" si="18" ref="L41:L49">K15</f>
        <v>0</v>
      </c>
      <c r="M41" s="29">
        <v>0</v>
      </c>
      <c r="N41" s="28">
        <f aca="true" t="shared" si="19" ref="N41:N49">L15</f>
        <v>0</v>
      </c>
      <c r="O41" s="29">
        <v>0</v>
      </c>
    </row>
    <row r="42" spans="1:15" ht="15">
      <c r="A42" s="10"/>
      <c r="B42" s="13">
        <f>F16</f>
        <v>0.07430555555555556</v>
      </c>
      <c r="C42" s="11">
        <f t="shared" si="14"/>
        <v>31.4</v>
      </c>
      <c r="D42" s="31">
        <f t="shared" si="14"/>
        <v>17.284403669724767</v>
      </c>
      <c r="E42" s="12">
        <f t="shared" si="14"/>
        <v>109</v>
      </c>
      <c r="F42" s="10">
        <f t="shared" si="15"/>
        <v>5</v>
      </c>
      <c r="G42" s="29">
        <f>E42/F42</f>
        <v>21.8</v>
      </c>
      <c r="H42" s="28">
        <f t="shared" si="16"/>
        <v>5</v>
      </c>
      <c r="I42" s="29">
        <f>E42/H42</f>
        <v>21.8</v>
      </c>
      <c r="J42" s="28">
        <f t="shared" si="17"/>
        <v>5</v>
      </c>
      <c r="K42" s="29">
        <f>E42/J42</f>
        <v>21.8</v>
      </c>
      <c r="L42" s="28">
        <f t="shared" si="18"/>
        <v>10</v>
      </c>
      <c r="M42" s="29">
        <f>E42/L42</f>
        <v>10.9</v>
      </c>
      <c r="N42" s="28">
        <f t="shared" si="19"/>
        <v>27</v>
      </c>
      <c r="O42" s="29">
        <f>E42/N42</f>
        <v>4.037037037037037</v>
      </c>
    </row>
    <row r="43" spans="1:15" ht="15">
      <c r="A43" s="10"/>
      <c r="B43" s="13">
        <f>F17</f>
        <v>0.024305555555555556</v>
      </c>
      <c r="C43" s="11">
        <f t="shared" si="14"/>
        <v>21.7</v>
      </c>
      <c r="D43" s="31">
        <f t="shared" si="14"/>
        <v>19.432835820895523</v>
      </c>
      <c r="E43" s="12">
        <f t="shared" si="14"/>
        <v>67</v>
      </c>
      <c r="F43" s="10">
        <f t="shared" si="15"/>
        <v>17</v>
      </c>
      <c r="G43" s="29">
        <f>E43/F43</f>
        <v>3.9411764705882355</v>
      </c>
      <c r="H43" s="28">
        <f t="shared" si="16"/>
        <v>17</v>
      </c>
      <c r="I43" s="29">
        <f>E43/H43</f>
        <v>3.9411764705882355</v>
      </c>
      <c r="J43" s="28">
        <f t="shared" si="17"/>
        <v>17</v>
      </c>
      <c r="K43" s="29">
        <f>E43/J43</f>
        <v>3.9411764705882355</v>
      </c>
      <c r="L43" s="28">
        <f t="shared" si="18"/>
        <v>17</v>
      </c>
      <c r="M43" s="29">
        <f>E43/L43</f>
        <v>3.9411764705882355</v>
      </c>
      <c r="N43" s="28">
        <f t="shared" si="19"/>
        <v>17</v>
      </c>
      <c r="O43" s="29">
        <f>E43/N43</f>
        <v>3.9411764705882355</v>
      </c>
    </row>
    <row r="44" spans="1:15" ht="15">
      <c r="A44" s="10"/>
      <c r="B44" s="13">
        <f>F18</f>
        <v>0.0763888888888889</v>
      </c>
      <c r="C44" s="11">
        <f t="shared" si="14"/>
        <v>30.9</v>
      </c>
      <c r="D44" s="31">
        <f t="shared" si="14"/>
        <v>16.4070796460177</v>
      </c>
      <c r="E44" s="12">
        <f t="shared" si="14"/>
        <v>113</v>
      </c>
      <c r="F44" s="10">
        <f t="shared" si="15"/>
        <v>9</v>
      </c>
      <c r="G44" s="29">
        <f>E44/F44</f>
        <v>12.555555555555555</v>
      </c>
      <c r="H44" s="28">
        <f t="shared" si="16"/>
        <v>9</v>
      </c>
      <c r="I44" s="29">
        <f>E44/H44</f>
        <v>12.555555555555555</v>
      </c>
      <c r="J44" s="28">
        <f t="shared" si="17"/>
        <v>9</v>
      </c>
      <c r="K44" s="29">
        <f>E44/J44</f>
        <v>12.555555555555555</v>
      </c>
      <c r="L44" s="28">
        <f t="shared" si="18"/>
        <v>19</v>
      </c>
      <c r="M44" s="29">
        <f>E44/L44</f>
        <v>5.947368421052632</v>
      </c>
      <c r="N44" s="28">
        <f t="shared" si="19"/>
        <v>28</v>
      </c>
      <c r="O44" s="29">
        <f>E44/N44</f>
        <v>4.035714285714286</v>
      </c>
    </row>
    <row r="45" spans="1:15" ht="15">
      <c r="A45" s="10"/>
      <c r="B45" s="13">
        <f>F19</f>
        <v>0.0625</v>
      </c>
      <c r="C45" s="11">
        <f t="shared" si="14"/>
        <v>33.1</v>
      </c>
      <c r="D45" s="31">
        <f t="shared" si="14"/>
        <v>18.220183486238533</v>
      </c>
      <c r="E45" s="12">
        <f t="shared" si="14"/>
        <v>109</v>
      </c>
      <c r="F45" s="10">
        <f t="shared" si="15"/>
        <v>8</v>
      </c>
      <c r="G45" s="29">
        <f>E45/F45</f>
        <v>13.625</v>
      </c>
      <c r="H45" s="28">
        <f t="shared" si="16"/>
        <v>8</v>
      </c>
      <c r="I45" s="29">
        <f>E45/H45</f>
        <v>13.625</v>
      </c>
      <c r="J45" s="28">
        <f t="shared" si="17"/>
        <v>8</v>
      </c>
      <c r="K45" s="29">
        <f>E45/J45</f>
        <v>13.625</v>
      </c>
      <c r="L45" s="28">
        <f t="shared" si="18"/>
        <v>16</v>
      </c>
      <c r="M45" s="29">
        <f>E45/L45</f>
        <v>6.8125</v>
      </c>
      <c r="N45" s="28">
        <f t="shared" si="19"/>
        <v>22</v>
      </c>
      <c r="O45" s="29">
        <f>E45/N45</f>
        <v>4.954545454545454</v>
      </c>
    </row>
    <row r="46" spans="1:15" ht="15">
      <c r="A46" s="10"/>
      <c r="B46" s="13"/>
      <c r="C46" s="11">
        <f t="shared" si="14"/>
        <v>24.3</v>
      </c>
      <c r="D46" s="31">
        <f t="shared" si="14"/>
        <v>18.692307692307693</v>
      </c>
      <c r="E46" s="12">
        <f t="shared" si="14"/>
        <v>78</v>
      </c>
      <c r="F46" s="10">
        <f t="shared" si="15"/>
        <v>0</v>
      </c>
      <c r="G46" s="29">
        <v>0</v>
      </c>
      <c r="H46" s="28">
        <f t="shared" si="16"/>
        <v>0</v>
      </c>
      <c r="I46" s="29">
        <v>0</v>
      </c>
      <c r="J46" s="28">
        <f t="shared" si="17"/>
        <v>0</v>
      </c>
      <c r="K46" s="29">
        <v>0</v>
      </c>
      <c r="L46" s="28">
        <f t="shared" si="18"/>
        <v>0</v>
      </c>
      <c r="M46" s="29">
        <v>0</v>
      </c>
      <c r="N46" s="28">
        <f t="shared" si="19"/>
        <v>0</v>
      </c>
      <c r="O46" s="29">
        <v>0</v>
      </c>
    </row>
    <row r="47" spans="1:15" ht="15">
      <c r="A47" s="10"/>
      <c r="B47" s="13"/>
      <c r="C47" s="11">
        <f t="shared" si="14"/>
        <v>30.5</v>
      </c>
      <c r="D47" s="31">
        <f t="shared" si="14"/>
        <v>17.941176470588236</v>
      </c>
      <c r="E47" s="12">
        <f t="shared" si="14"/>
        <v>102</v>
      </c>
      <c r="F47" s="10">
        <f t="shared" si="15"/>
        <v>0</v>
      </c>
      <c r="G47" s="29">
        <v>0</v>
      </c>
      <c r="H47" s="28">
        <f t="shared" si="16"/>
        <v>0</v>
      </c>
      <c r="I47" s="29">
        <v>0</v>
      </c>
      <c r="J47" s="28">
        <f t="shared" si="17"/>
        <v>0</v>
      </c>
      <c r="K47" s="29">
        <v>0</v>
      </c>
      <c r="L47" s="28">
        <f t="shared" si="18"/>
        <v>0</v>
      </c>
      <c r="M47" s="29">
        <v>0</v>
      </c>
      <c r="N47" s="28">
        <f t="shared" si="19"/>
        <v>0</v>
      </c>
      <c r="O47" s="29">
        <v>0</v>
      </c>
    </row>
    <row r="48" spans="1:15" ht="15">
      <c r="A48" s="10"/>
      <c r="B48" s="13">
        <f>F22</f>
        <v>0.6875</v>
      </c>
      <c r="C48" s="11">
        <f t="shared" si="14"/>
        <v>25.5</v>
      </c>
      <c r="D48" s="31">
        <f t="shared" si="14"/>
        <v>17.386363636363637</v>
      </c>
      <c r="E48" s="12">
        <f t="shared" si="14"/>
        <v>88</v>
      </c>
      <c r="F48" s="10">
        <f t="shared" si="15"/>
        <v>44</v>
      </c>
      <c r="G48" s="29">
        <f>E48/F48</f>
        <v>2</v>
      </c>
      <c r="H48" s="28">
        <f t="shared" si="16"/>
        <v>44</v>
      </c>
      <c r="I48" s="29">
        <f>E48/H48</f>
        <v>2</v>
      </c>
      <c r="J48" s="28">
        <f t="shared" si="17"/>
        <v>44</v>
      </c>
      <c r="K48" s="29">
        <f>E48/J48</f>
        <v>2</v>
      </c>
      <c r="L48" s="28">
        <f t="shared" si="18"/>
        <v>0</v>
      </c>
      <c r="M48" s="29">
        <v>0</v>
      </c>
      <c r="N48" s="28">
        <f t="shared" si="19"/>
        <v>0</v>
      </c>
      <c r="O48" s="29">
        <v>0</v>
      </c>
    </row>
    <row r="49" spans="1:15" ht="15">
      <c r="A49" s="14"/>
      <c r="B49" s="16">
        <f>F23</f>
        <v>0.9125</v>
      </c>
      <c r="C49" s="15">
        <f t="shared" si="14"/>
        <v>19.1</v>
      </c>
      <c r="D49" s="32">
        <f t="shared" si="14"/>
        <v>17.104477611940297</v>
      </c>
      <c r="E49" s="17">
        <f t="shared" si="14"/>
        <v>67</v>
      </c>
      <c r="F49" s="14">
        <f t="shared" si="15"/>
        <v>22</v>
      </c>
      <c r="G49" s="30">
        <f>E49/F49</f>
        <v>3.0454545454545454</v>
      </c>
      <c r="H49" s="33">
        <f t="shared" si="16"/>
        <v>22</v>
      </c>
      <c r="I49" s="30">
        <f>E49/H49</f>
        <v>3.0454545454545454</v>
      </c>
      <c r="J49" s="33">
        <f t="shared" si="17"/>
        <v>22</v>
      </c>
      <c r="K49" s="30">
        <f>E49/J49</f>
        <v>3.0454545454545454</v>
      </c>
      <c r="L49" s="33">
        <f t="shared" si="18"/>
        <v>34</v>
      </c>
      <c r="M49" s="30">
        <f>E49/L49</f>
        <v>1.9705882352941178</v>
      </c>
      <c r="N49" s="33">
        <f t="shared" si="19"/>
        <v>0</v>
      </c>
      <c r="O49" s="30">
        <v>0</v>
      </c>
    </row>
    <row r="50" spans="2:15" ht="15">
      <c r="B50" s="6"/>
      <c r="F50" s="103">
        <f aca="true" t="shared" si="20" ref="F50:O50">SUM(F41:F49)</f>
        <v>105</v>
      </c>
      <c r="G50" s="104">
        <f t="shared" si="20"/>
        <v>56.96718657159834</v>
      </c>
      <c r="H50" s="104">
        <f t="shared" si="20"/>
        <v>105</v>
      </c>
      <c r="I50" s="104">
        <f t="shared" si="20"/>
        <v>56.96718657159834</v>
      </c>
      <c r="J50" s="104">
        <f t="shared" si="20"/>
        <v>105</v>
      </c>
      <c r="K50" s="104">
        <f t="shared" si="20"/>
        <v>56.96718657159834</v>
      </c>
      <c r="L50" s="104">
        <f t="shared" si="20"/>
        <v>96</v>
      </c>
      <c r="M50" s="104">
        <f t="shared" si="20"/>
        <v>29.571633126934984</v>
      </c>
      <c r="N50" s="104">
        <f t="shared" si="20"/>
        <v>94</v>
      </c>
      <c r="O50" s="104">
        <f t="shared" si="20"/>
        <v>16.96847324788501</v>
      </c>
    </row>
    <row r="52" spans="1:12" ht="15">
      <c r="A52" s="38" t="s">
        <v>28</v>
      </c>
      <c r="B52" s="7" t="s">
        <v>17</v>
      </c>
      <c r="C52" s="9"/>
      <c r="D52" s="7" t="s">
        <v>18</v>
      </c>
      <c r="E52" s="9"/>
      <c r="F52" s="7" t="s">
        <v>19</v>
      </c>
      <c r="G52" s="9"/>
      <c r="H52" s="7" t="s">
        <v>20</v>
      </c>
      <c r="I52" s="9"/>
      <c r="J52" s="7" t="s">
        <v>29</v>
      </c>
      <c r="K52" s="8"/>
      <c r="L52" s="9"/>
    </row>
    <row r="53" spans="1:12" ht="15">
      <c r="A53" s="10"/>
      <c r="B53" s="10" t="s">
        <v>26</v>
      </c>
      <c r="C53" s="12" t="s">
        <v>30</v>
      </c>
      <c r="D53" s="10" t="s">
        <v>26</v>
      </c>
      <c r="E53" s="12" t="s">
        <v>30</v>
      </c>
      <c r="F53" s="10" t="s">
        <v>26</v>
      </c>
      <c r="G53" s="12" t="s">
        <v>30</v>
      </c>
      <c r="H53" s="10" t="s">
        <v>26</v>
      </c>
      <c r="I53" s="12" t="s">
        <v>30</v>
      </c>
      <c r="J53" s="10" t="s">
        <v>25</v>
      </c>
      <c r="K53" s="11" t="s">
        <v>26</v>
      </c>
      <c r="L53" s="12" t="s">
        <v>30</v>
      </c>
    </row>
    <row r="54" spans="1:15" ht="15">
      <c r="A54" s="10"/>
      <c r="B54" s="28">
        <f aca="true" t="shared" si="21" ref="B54:B62">G28</f>
        <v>3.95</v>
      </c>
      <c r="C54" s="29">
        <f aca="true" t="shared" si="22" ref="C54:C62">3*B54</f>
        <v>11.850000000000001</v>
      </c>
      <c r="D54" s="28">
        <f aca="true" t="shared" si="23" ref="D54:D62">I28</f>
        <v>0</v>
      </c>
      <c r="E54" s="29">
        <f aca="true" t="shared" si="24" ref="E54:E62">5*D54</f>
        <v>0</v>
      </c>
      <c r="F54" s="28">
        <f aca="true" t="shared" si="25" ref="F54:F62">K28</f>
        <v>3.0384615384615383</v>
      </c>
      <c r="G54" s="29">
        <f aca="true" t="shared" si="26" ref="G54:G62">4*F54</f>
        <v>12.153846153846153</v>
      </c>
      <c r="H54" s="28">
        <f aca="true" t="shared" si="27" ref="H54:H62">M28</f>
        <v>0</v>
      </c>
      <c r="I54" s="29">
        <f aca="true" t="shared" si="28" ref="I54:I62">2*H54</f>
        <v>0</v>
      </c>
      <c r="J54" s="36">
        <v>2.97</v>
      </c>
      <c r="K54" s="34">
        <f aca="true" t="shared" si="29" ref="K54:K62">O28</f>
        <v>0</v>
      </c>
      <c r="L54" s="29">
        <f aca="true" t="shared" si="30" ref="L54:L62">K54*J54</f>
        <v>0</v>
      </c>
      <c r="N54" s="47" t="s">
        <v>31</v>
      </c>
      <c r="O54" s="48">
        <f>L64/B63</f>
        <v>10.787932799051694</v>
      </c>
    </row>
    <row r="55" spans="1:12" ht="15">
      <c r="A55" s="10"/>
      <c r="B55" s="28">
        <f t="shared" si="21"/>
        <v>27.25</v>
      </c>
      <c r="C55" s="29">
        <f t="shared" si="22"/>
        <v>81.75</v>
      </c>
      <c r="D55" s="28">
        <f t="shared" si="23"/>
        <v>18.166666666666668</v>
      </c>
      <c r="E55" s="29">
        <f t="shared" si="24"/>
        <v>90.83333333333334</v>
      </c>
      <c r="F55" s="28">
        <f t="shared" si="25"/>
        <v>27.25</v>
      </c>
      <c r="G55" s="29">
        <f t="shared" si="26"/>
        <v>109</v>
      </c>
      <c r="H55" s="28">
        <f t="shared" si="27"/>
        <v>6.8125</v>
      </c>
      <c r="I55" s="29">
        <f t="shared" si="28"/>
        <v>13.625</v>
      </c>
      <c r="J55" s="36">
        <v>3.46</v>
      </c>
      <c r="K55" s="34">
        <f t="shared" si="29"/>
        <v>4.037037037037037</v>
      </c>
      <c r="L55" s="29">
        <f t="shared" si="30"/>
        <v>13.968148148148149</v>
      </c>
    </row>
    <row r="56" spans="1:12" ht="15">
      <c r="A56" s="10"/>
      <c r="B56" s="28">
        <f t="shared" si="21"/>
        <v>13.4</v>
      </c>
      <c r="C56" s="29">
        <f t="shared" si="22"/>
        <v>40.2</v>
      </c>
      <c r="D56" s="28">
        <f t="shared" si="23"/>
        <v>3.9411764705882355</v>
      </c>
      <c r="E56" s="29">
        <f t="shared" si="24"/>
        <v>19.705882352941178</v>
      </c>
      <c r="F56" s="28">
        <f t="shared" si="25"/>
        <v>13.4</v>
      </c>
      <c r="G56" s="29">
        <f t="shared" si="26"/>
        <v>53.6</v>
      </c>
      <c r="H56" s="28">
        <f t="shared" si="27"/>
        <v>3.9411764705882355</v>
      </c>
      <c r="I56" s="29">
        <f t="shared" si="28"/>
        <v>7.882352941176471</v>
      </c>
      <c r="J56" s="36">
        <v>2.35</v>
      </c>
      <c r="K56" s="34">
        <f t="shared" si="29"/>
        <v>3.9411764705882355</v>
      </c>
      <c r="L56" s="29">
        <f t="shared" si="30"/>
        <v>9.261764705882353</v>
      </c>
    </row>
    <row r="57" spans="1:12" ht="15">
      <c r="A57" s="10"/>
      <c r="B57" s="28">
        <f t="shared" si="21"/>
        <v>16.142857142857142</v>
      </c>
      <c r="C57" s="29">
        <f t="shared" si="22"/>
        <v>48.42857142857143</v>
      </c>
      <c r="D57" s="28">
        <f t="shared" si="23"/>
        <v>12.555555555555555</v>
      </c>
      <c r="E57" s="29">
        <f t="shared" si="24"/>
        <v>62.77777777777778</v>
      </c>
      <c r="F57" s="28">
        <f t="shared" si="25"/>
        <v>16.142857142857142</v>
      </c>
      <c r="G57" s="29">
        <f t="shared" si="26"/>
        <v>64.57142857142857</v>
      </c>
      <c r="H57" s="28">
        <f t="shared" si="27"/>
        <v>4.035714285714286</v>
      </c>
      <c r="I57" s="29">
        <f t="shared" si="28"/>
        <v>8.071428571428571</v>
      </c>
      <c r="J57" s="36">
        <v>3.31</v>
      </c>
      <c r="K57" s="34">
        <f t="shared" si="29"/>
        <v>4.035714285714286</v>
      </c>
      <c r="L57" s="29">
        <f t="shared" si="30"/>
        <v>13.358214285714286</v>
      </c>
    </row>
    <row r="58" spans="1:12" ht="15">
      <c r="A58" s="10"/>
      <c r="B58" s="28">
        <f t="shared" si="21"/>
        <v>18.166666666666668</v>
      </c>
      <c r="C58" s="29">
        <f t="shared" si="22"/>
        <v>54.5</v>
      </c>
      <c r="D58" s="28">
        <f t="shared" si="23"/>
        <v>9.909090909090908</v>
      </c>
      <c r="E58" s="29">
        <f t="shared" si="24"/>
        <v>49.54545454545454</v>
      </c>
      <c r="F58" s="28">
        <f t="shared" si="25"/>
        <v>18.166666666666668</v>
      </c>
      <c r="G58" s="29">
        <f t="shared" si="26"/>
        <v>72.66666666666667</v>
      </c>
      <c r="H58" s="28">
        <f t="shared" si="27"/>
        <v>6.8125</v>
      </c>
      <c r="I58" s="29">
        <f t="shared" si="28"/>
        <v>13.625</v>
      </c>
      <c r="J58" s="36">
        <v>3.32</v>
      </c>
      <c r="K58" s="34">
        <f t="shared" si="29"/>
        <v>4.954545454545454</v>
      </c>
      <c r="L58" s="29">
        <f t="shared" si="30"/>
        <v>16.449090909090906</v>
      </c>
    </row>
    <row r="59" spans="1:12" ht="15">
      <c r="A59" s="10"/>
      <c r="B59" s="28">
        <f t="shared" si="21"/>
        <v>3.9</v>
      </c>
      <c r="C59" s="29">
        <f t="shared" si="22"/>
        <v>11.7</v>
      </c>
      <c r="D59" s="28">
        <f t="shared" si="23"/>
        <v>0</v>
      </c>
      <c r="E59" s="29">
        <f t="shared" si="24"/>
        <v>0</v>
      </c>
      <c r="F59" s="28">
        <f t="shared" si="25"/>
        <v>3.9</v>
      </c>
      <c r="G59" s="29">
        <f t="shared" si="26"/>
        <v>15.6</v>
      </c>
      <c r="H59" s="28">
        <f t="shared" si="27"/>
        <v>0</v>
      </c>
      <c r="I59" s="29">
        <f t="shared" si="28"/>
        <v>0</v>
      </c>
      <c r="J59" s="36">
        <f>22-19.37</f>
        <v>2.629999999999999</v>
      </c>
      <c r="K59" s="34">
        <f t="shared" si="29"/>
        <v>0</v>
      </c>
      <c r="L59" s="29">
        <f t="shared" si="30"/>
        <v>0</v>
      </c>
    </row>
    <row r="60" spans="1:12" ht="15">
      <c r="A60" s="10"/>
      <c r="B60" s="28">
        <f t="shared" si="21"/>
        <v>3.923076923076923</v>
      </c>
      <c r="C60" s="29">
        <f t="shared" si="22"/>
        <v>11.769230769230768</v>
      </c>
      <c r="D60" s="28">
        <f t="shared" si="23"/>
        <v>0</v>
      </c>
      <c r="E60" s="29">
        <f t="shared" si="24"/>
        <v>0</v>
      </c>
      <c r="F60" s="28">
        <f t="shared" si="25"/>
        <v>3.923076923076923</v>
      </c>
      <c r="G60" s="29">
        <f t="shared" si="26"/>
        <v>15.692307692307692</v>
      </c>
      <c r="H60" s="28">
        <f t="shared" si="27"/>
        <v>0</v>
      </c>
      <c r="I60" s="29">
        <f t="shared" si="28"/>
        <v>0</v>
      </c>
      <c r="J60" s="36">
        <f>22-18.55</f>
        <v>3.4499999999999993</v>
      </c>
      <c r="K60" s="34">
        <f t="shared" si="29"/>
        <v>0</v>
      </c>
      <c r="L60" s="29">
        <f t="shared" si="30"/>
        <v>0</v>
      </c>
    </row>
    <row r="61" spans="1:12" ht="15">
      <c r="A61" s="10"/>
      <c r="B61" s="28">
        <f t="shared" si="21"/>
        <v>3.0344827586206895</v>
      </c>
      <c r="C61" s="29">
        <f t="shared" si="22"/>
        <v>9.103448275862068</v>
      </c>
      <c r="D61" s="28">
        <f t="shared" si="23"/>
        <v>3.0344827586206895</v>
      </c>
      <c r="E61" s="29">
        <f t="shared" si="24"/>
        <v>15.172413793103448</v>
      </c>
      <c r="F61" s="28">
        <f t="shared" si="25"/>
        <v>3.0344827586206895</v>
      </c>
      <c r="G61" s="29">
        <f t="shared" si="26"/>
        <v>12.137931034482758</v>
      </c>
      <c r="H61" s="28">
        <f t="shared" si="27"/>
        <v>3.0344827586206895</v>
      </c>
      <c r="I61" s="29">
        <f t="shared" si="28"/>
        <v>6.068965517241379</v>
      </c>
      <c r="J61" s="36">
        <f>22-19.5</f>
        <v>2.5</v>
      </c>
      <c r="K61" s="34">
        <f t="shared" si="29"/>
        <v>0</v>
      </c>
      <c r="L61" s="29">
        <f t="shared" si="30"/>
        <v>0</v>
      </c>
    </row>
    <row r="62" spans="1:12" ht="15">
      <c r="A62" s="14"/>
      <c r="B62" s="33">
        <f t="shared" si="21"/>
        <v>3.0454545454545454</v>
      </c>
      <c r="C62" s="30">
        <f t="shared" si="22"/>
        <v>9.136363636363637</v>
      </c>
      <c r="D62" s="33">
        <f t="shared" si="23"/>
        <v>3.0454545454545454</v>
      </c>
      <c r="E62" s="30">
        <f t="shared" si="24"/>
        <v>15.227272727272727</v>
      </c>
      <c r="F62" s="33">
        <f t="shared" si="25"/>
        <v>1.9705882352941178</v>
      </c>
      <c r="G62" s="30">
        <f t="shared" si="26"/>
        <v>7.882352941176471</v>
      </c>
      <c r="H62" s="33">
        <f t="shared" si="27"/>
        <v>1.9705882352941178</v>
      </c>
      <c r="I62" s="30">
        <f t="shared" si="28"/>
        <v>3.9411764705882355</v>
      </c>
      <c r="J62" s="37">
        <v>0.3</v>
      </c>
      <c r="K62" s="35">
        <f t="shared" si="29"/>
        <v>0</v>
      </c>
      <c r="L62" s="30">
        <f t="shared" si="30"/>
        <v>0</v>
      </c>
    </row>
    <row r="63" spans="2:12" ht="15">
      <c r="B63" s="44">
        <f aca="true" t="shared" si="31" ref="B63:L63">SUM(B54:B62)</f>
        <v>92.81253803667597</v>
      </c>
      <c r="C63" s="45">
        <f t="shared" si="31"/>
        <v>278.43761411002794</v>
      </c>
      <c r="D63" s="44">
        <f t="shared" si="31"/>
        <v>50.652426905976604</v>
      </c>
      <c r="E63" s="45">
        <f t="shared" si="31"/>
        <v>253.262134529883</v>
      </c>
      <c r="F63" s="44">
        <f t="shared" si="31"/>
        <v>90.82613326497707</v>
      </c>
      <c r="G63" s="45">
        <f t="shared" si="31"/>
        <v>363.3045330599083</v>
      </c>
      <c r="H63" s="44">
        <f t="shared" si="31"/>
        <v>26.60696175021733</v>
      </c>
      <c r="I63" s="45">
        <f t="shared" si="31"/>
        <v>53.21392350043466</v>
      </c>
      <c r="J63" s="46">
        <f t="shared" si="31"/>
        <v>24.29</v>
      </c>
      <c r="K63" s="44">
        <f t="shared" si="31"/>
        <v>16.96847324788501</v>
      </c>
      <c r="L63" s="44">
        <f t="shared" si="31"/>
        <v>53.03721804883569</v>
      </c>
    </row>
    <row r="64" spans="11:12" ht="15">
      <c r="K64" s="22" t="s">
        <v>32</v>
      </c>
      <c r="L64" s="49">
        <f>C63+E63+G63+I63+L63</f>
        <v>1001.2554232490896</v>
      </c>
    </row>
    <row r="65" spans="1:12" ht="15">
      <c r="A65" s="38" t="s">
        <v>33</v>
      </c>
      <c r="B65" s="7" t="str">
        <f>B52</f>
        <v>6-9,00</v>
      </c>
      <c r="C65" s="9"/>
      <c r="D65" s="7" t="str">
        <f>D52</f>
        <v>9-15,00</v>
      </c>
      <c r="E65" s="9"/>
      <c r="F65" s="7" t="str">
        <f>F52</f>
        <v>15-19,00</v>
      </c>
      <c r="G65" s="9"/>
      <c r="H65" s="7" t="str">
        <f>H52</f>
        <v>19-22,00</v>
      </c>
      <c r="I65" s="9"/>
      <c r="J65" s="7" t="str">
        <f>J52</f>
        <v>22,00 после</v>
      </c>
      <c r="K65" s="8"/>
      <c r="L65" s="9"/>
    </row>
    <row r="66" spans="1:12" ht="15">
      <c r="A66" s="10"/>
      <c r="B66" s="10" t="str">
        <f>B53</f>
        <v>n</v>
      </c>
      <c r="C66" s="12" t="str">
        <f>C53</f>
        <v>T(i)</v>
      </c>
      <c r="D66" s="10" t="str">
        <f>D53</f>
        <v>n</v>
      </c>
      <c r="E66" s="12" t="str">
        <f>E53</f>
        <v>T(i)</v>
      </c>
      <c r="F66" s="10" t="str">
        <f>F53</f>
        <v>n</v>
      </c>
      <c r="G66" s="12" t="str">
        <f>G53</f>
        <v>T(i)</v>
      </c>
      <c r="H66" s="10" t="str">
        <f>H53</f>
        <v>n</v>
      </c>
      <c r="I66" s="12" t="str">
        <f>I53</f>
        <v>T(i)</v>
      </c>
      <c r="J66" s="10" t="str">
        <f>J53</f>
        <v>t</v>
      </c>
      <c r="K66" s="11" t="str">
        <f>K53</f>
        <v>n</v>
      </c>
      <c r="L66" s="12" t="str">
        <f>L53</f>
        <v>T(i)</v>
      </c>
    </row>
    <row r="67" spans="1:12" ht="15">
      <c r="A67" s="10"/>
      <c r="B67" s="28">
        <f aca="true" t="shared" si="32" ref="B67:B75">G41</f>
        <v>0</v>
      </c>
      <c r="C67" s="29">
        <f aca="true" t="shared" si="33" ref="C67:C75">3*B67</f>
        <v>0</v>
      </c>
      <c r="D67" s="28">
        <f aca="true" t="shared" si="34" ref="D67:D75">I41</f>
        <v>0</v>
      </c>
      <c r="E67" s="29">
        <f aca="true" t="shared" si="35" ref="E67:E75">5*D67</f>
        <v>0</v>
      </c>
      <c r="F67" s="28">
        <f aca="true" t="shared" si="36" ref="F67:F75">K41</f>
        <v>0</v>
      </c>
      <c r="G67" s="29">
        <f aca="true" t="shared" si="37" ref="G67:G75">4*F67</f>
        <v>0</v>
      </c>
      <c r="H67" s="28">
        <f aca="true" t="shared" si="38" ref="H67:H75">M41</f>
        <v>0</v>
      </c>
      <c r="I67" s="29">
        <f aca="true" t="shared" si="39" ref="I67:I75">2*H67</f>
        <v>0</v>
      </c>
      <c r="J67" s="36">
        <v>0</v>
      </c>
      <c r="K67" s="34">
        <f aca="true" t="shared" si="40" ref="K67:K75">O41</f>
        <v>0</v>
      </c>
      <c r="L67" s="29">
        <f aca="true" t="shared" si="41" ref="L67:L75">K67*J67</f>
        <v>0</v>
      </c>
    </row>
    <row r="68" spans="1:12" ht="15">
      <c r="A68" s="10"/>
      <c r="B68" s="28">
        <f t="shared" si="32"/>
        <v>21.8</v>
      </c>
      <c r="C68" s="29">
        <f t="shared" si="33"/>
        <v>65.4</v>
      </c>
      <c r="D68" s="28">
        <f t="shared" si="34"/>
        <v>21.8</v>
      </c>
      <c r="E68" s="29">
        <f t="shared" si="35"/>
        <v>109</v>
      </c>
      <c r="F68" s="28">
        <f t="shared" si="36"/>
        <v>21.8</v>
      </c>
      <c r="G68" s="29">
        <f t="shared" si="37"/>
        <v>87.2</v>
      </c>
      <c r="H68" s="28">
        <f t="shared" si="38"/>
        <v>10.9</v>
      </c>
      <c r="I68" s="29">
        <f t="shared" si="39"/>
        <v>21.8</v>
      </c>
      <c r="J68" s="36">
        <v>3.47</v>
      </c>
      <c r="K68" s="34">
        <f t="shared" si="40"/>
        <v>4.037037037037037</v>
      </c>
      <c r="L68" s="29">
        <f t="shared" si="41"/>
        <v>14.00851851851852</v>
      </c>
    </row>
    <row r="69" spans="1:15" ht="15">
      <c r="A69" s="10"/>
      <c r="B69" s="28">
        <f t="shared" si="32"/>
        <v>3.9411764705882355</v>
      </c>
      <c r="C69" s="29">
        <f t="shared" si="33"/>
        <v>11.823529411764707</v>
      </c>
      <c r="D69" s="28">
        <f t="shared" si="34"/>
        <v>3.9411764705882355</v>
      </c>
      <c r="E69" s="29">
        <f t="shared" si="35"/>
        <v>19.705882352941178</v>
      </c>
      <c r="F69" s="28">
        <f t="shared" si="36"/>
        <v>3.9411764705882355</v>
      </c>
      <c r="G69" s="29">
        <f t="shared" si="37"/>
        <v>15.764705882352942</v>
      </c>
      <c r="H69" s="28">
        <f t="shared" si="38"/>
        <v>3.9411764705882355</v>
      </c>
      <c r="I69" s="29">
        <f t="shared" si="39"/>
        <v>7.882352941176471</v>
      </c>
      <c r="J69" s="36">
        <v>2.35</v>
      </c>
      <c r="K69" s="34">
        <f t="shared" si="40"/>
        <v>3.9411764705882355</v>
      </c>
      <c r="L69" s="29">
        <f t="shared" si="41"/>
        <v>9.261764705882353</v>
      </c>
      <c r="N69" s="51" t="s">
        <v>34</v>
      </c>
      <c r="O69" s="57">
        <f>L77/B76</f>
        <v>13.984250805502533</v>
      </c>
    </row>
    <row r="70" spans="1:15" ht="15">
      <c r="A70" s="10"/>
      <c r="B70" s="28">
        <f t="shared" si="32"/>
        <v>12.555555555555555</v>
      </c>
      <c r="C70" s="29">
        <f t="shared" si="33"/>
        <v>37.666666666666664</v>
      </c>
      <c r="D70" s="28">
        <f t="shared" si="34"/>
        <v>12.555555555555555</v>
      </c>
      <c r="E70" s="29">
        <f t="shared" si="35"/>
        <v>62.77777777777778</v>
      </c>
      <c r="F70" s="28">
        <f t="shared" si="36"/>
        <v>12.555555555555555</v>
      </c>
      <c r="G70" s="29">
        <f t="shared" si="37"/>
        <v>50.22222222222222</v>
      </c>
      <c r="H70" s="28">
        <f t="shared" si="38"/>
        <v>5.947368421052632</v>
      </c>
      <c r="I70" s="29">
        <f t="shared" si="39"/>
        <v>11.894736842105264</v>
      </c>
      <c r="J70" s="36">
        <v>3.5</v>
      </c>
      <c r="K70" s="34">
        <f t="shared" si="40"/>
        <v>4.035714285714286</v>
      </c>
      <c r="L70" s="29">
        <f t="shared" si="41"/>
        <v>14.125</v>
      </c>
      <c r="N70" s="47" t="s">
        <v>35</v>
      </c>
      <c r="O70" s="48">
        <f>((O54*254)+(O69*112))/365</f>
        <v>11.798276770343598</v>
      </c>
    </row>
    <row r="71" spans="1:15" ht="15">
      <c r="A71" s="10"/>
      <c r="B71" s="28">
        <f t="shared" si="32"/>
        <v>13.625</v>
      </c>
      <c r="C71" s="29">
        <f t="shared" si="33"/>
        <v>40.875</v>
      </c>
      <c r="D71" s="28">
        <f t="shared" si="34"/>
        <v>13.625</v>
      </c>
      <c r="E71" s="29">
        <f t="shared" si="35"/>
        <v>68.125</v>
      </c>
      <c r="F71" s="28">
        <f t="shared" si="36"/>
        <v>13.625</v>
      </c>
      <c r="G71" s="29">
        <f t="shared" si="37"/>
        <v>54.5</v>
      </c>
      <c r="H71" s="28">
        <f t="shared" si="38"/>
        <v>6.8125</v>
      </c>
      <c r="I71" s="29">
        <f t="shared" si="39"/>
        <v>13.625</v>
      </c>
      <c r="J71" s="36">
        <v>3.33</v>
      </c>
      <c r="K71" s="34">
        <f t="shared" si="40"/>
        <v>4.954545454545454</v>
      </c>
      <c r="L71" s="29">
        <f t="shared" si="41"/>
        <v>16.49863636363636</v>
      </c>
      <c r="N71" s="10"/>
      <c r="O71" s="12"/>
    </row>
    <row r="72" spans="1:15" ht="15">
      <c r="A72" s="10"/>
      <c r="B72" s="28">
        <f t="shared" si="32"/>
        <v>0</v>
      </c>
      <c r="C72" s="29">
        <f t="shared" si="33"/>
        <v>0</v>
      </c>
      <c r="D72" s="28">
        <f t="shared" si="34"/>
        <v>0</v>
      </c>
      <c r="E72" s="29">
        <f t="shared" si="35"/>
        <v>0</v>
      </c>
      <c r="F72" s="28">
        <f t="shared" si="36"/>
        <v>0</v>
      </c>
      <c r="G72" s="29">
        <f t="shared" si="37"/>
        <v>0</v>
      </c>
      <c r="H72" s="28">
        <f t="shared" si="38"/>
        <v>0</v>
      </c>
      <c r="I72" s="29">
        <f t="shared" si="39"/>
        <v>0</v>
      </c>
      <c r="J72" s="36">
        <v>0</v>
      </c>
      <c r="K72" s="34">
        <f t="shared" si="40"/>
        <v>0</v>
      </c>
      <c r="L72" s="29">
        <f t="shared" si="41"/>
        <v>0</v>
      </c>
      <c r="N72" s="10"/>
      <c r="O72" s="12"/>
    </row>
    <row r="73" spans="1:15" ht="15">
      <c r="A73" s="10"/>
      <c r="B73" s="28">
        <f t="shared" si="32"/>
        <v>0</v>
      </c>
      <c r="C73" s="29">
        <f t="shared" si="33"/>
        <v>0</v>
      </c>
      <c r="D73" s="28">
        <f t="shared" si="34"/>
        <v>0</v>
      </c>
      <c r="E73" s="29">
        <f t="shared" si="35"/>
        <v>0</v>
      </c>
      <c r="F73" s="28">
        <f t="shared" si="36"/>
        <v>0</v>
      </c>
      <c r="G73" s="29">
        <f t="shared" si="37"/>
        <v>0</v>
      </c>
      <c r="H73" s="28">
        <f t="shared" si="38"/>
        <v>0</v>
      </c>
      <c r="I73" s="29">
        <f t="shared" si="39"/>
        <v>0</v>
      </c>
      <c r="J73" s="36">
        <v>0</v>
      </c>
      <c r="K73" s="34">
        <f t="shared" si="40"/>
        <v>0</v>
      </c>
      <c r="L73" s="29">
        <f t="shared" si="41"/>
        <v>0</v>
      </c>
      <c r="N73" s="10"/>
      <c r="O73" s="12"/>
    </row>
    <row r="74" spans="1:15" ht="15">
      <c r="A74" s="10"/>
      <c r="B74" s="28">
        <f t="shared" si="32"/>
        <v>2</v>
      </c>
      <c r="C74" s="29">
        <f t="shared" si="33"/>
        <v>6</v>
      </c>
      <c r="D74" s="28">
        <f t="shared" si="34"/>
        <v>2</v>
      </c>
      <c r="E74" s="29">
        <f t="shared" si="35"/>
        <v>10</v>
      </c>
      <c r="F74" s="28">
        <f t="shared" si="36"/>
        <v>2</v>
      </c>
      <c r="G74" s="29">
        <f t="shared" si="37"/>
        <v>8</v>
      </c>
      <c r="H74" s="28">
        <f t="shared" si="38"/>
        <v>0</v>
      </c>
      <c r="I74" s="29">
        <f t="shared" si="39"/>
        <v>0</v>
      </c>
      <c r="J74" s="36">
        <f>22-16.3</f>
        <v>5.699999999999999</v>
      </c>
      <c r="K74" s="34">
        <f t="shared" si="40"/>
        <v>0</v>
      </c>
      <c r="L74" s="29">
        <f t="shared" si="41"/>
        <v>0</v>
      </c>
      <c r="N74" s="53" t="s">
        <v>36</v>
      </c>
      <c r="O74" s="62">
        <f>(L64*254)+(L77*112)</f>
        <v>343542.9410717905</v>
      </c>
    </row>
    <row r="75" spans="1:15" ht="15">
      <c r="A75" s="14"/>
      <c r="B75" s="33">
        <f t="shared" si="32"/>
        <v>3.0454545454545454</v>
      </c>
      <c r="C75" s="30">
        <f t="shared" si="33"/>
        <v>9.136363636363637</v>
      </c>
      <c r="D75" s="33">
        <f t="shared" si="34"/>
        <v>3.0454545454545454</v>
      </c>
      <c r="E75" s="30">
        <f t="shared" si="35"/>
        <v>15.227272727272727</v>
      </c>
      <c r="F75" s="33">
        <f t="shared" si="36"/>
        <v>3.0454545454545454</v>
      </c>
      <c r="G75" s="30">
        <f t="shared" si="37"/>
        <v>12.181818181818182</v>
      </c>
      <c r="H75" s="33">
        <f t="shared" si="38"/>
        <v>1.9705882352941178</v>
      </c>
      <c r="I75" s="30">
        <f t="shared" si="39"/>
        <v>3.9411764705882355</v>
      </c>
      <c r="J75" s="37">
        <f>22-21.54</f>
        <v>0.46000000000000085</v>
      </c>
      <c r="K75" s="35">
        <f t="shared" si="40"/>
        <v>0</v>
      </c>
      <c r="L75" s="30">
        <f t="shared" si="41"/>
        <v>0</v>
      </c>
      <c r="N75" s="10"/>
      <c r="O75" s="12"/>
    </row>
    <row r="76" spans="2:15" ht="15">
      <c r="B76" s="44">
        <f aca="true" t="shared" si="42" ref="B76:L76">SUM(B67:B75)</f>
        <v>56.96718657159834</v>
      </c>
      <c r="C76" s="45">
        <f t="shared" si="42"/>
        <v>170.901559714795</v>
      </c>
      <c r="D76" s="44">
        <f t="shared" si="42"/>
        <v>56.96718657159834</v>
      </c>
      <c r="E76" s="45">
        <f t="shared" si="42"/>
        <v>284.8359328579917</v>
      </c>
      <c r="F76" s="44">
        <f t="shared" si="42"/>
        <v>56.96718657159834</v>
      </c>
      <c r="G76" s="45">
        <f t="shared" si="42"/>
        <v>227.86874628639336</v>
      </c>
      <c r="H76" s="44">
        <f t="shared" si="42"/>
        <v>29.571633126934984</v>
      </c>
      <c r="I76" s="45">
        <f t="shared" si="42"/>
        <v>59.14326625386997</v>
      </c>
      <c r="J76" s="46">
        <f t="shared" si="42"/>
        <v>18.810000000000002</v>
      </c>
      <c r="K76" s="44">
        <f t="shared" si="42"/>
        <v>16.96847324788501</v>
      </c>
      <c r="L76" s="45">
        <f t="shared" si="42"/>
        <v>53.893919588037235</v>
      </c>
      <c r="N76" s="55" t="s">
        <v>37</v>
      </c>
      <c r="O76" s="56">
        <f>O74/O78</f>
        <v>2961.176999047568</v>
      </c>
    </row>
    <row r="77" spans="1:12" ht="15">
      <c r="A77" s="41" t="s">
        <v>38</v>
      </c>
      <c r="B77" s="21" t="s">
        <v>15</v>
      </c>
      <c r="C77" s="21" t="s">
        <v>17</v>
      </c>
      <c r="D77" s="21" t="s">
        <v>18</v>
      </c>
      <c r="E77" s="21" t="s">
        <v>19</v>
      </c>
      <c r="F77" s="21" t="s">
        <v>20</v>
      </c>
      <c r="G77" s="21" t="s">
        <v>21</v>
      </c>
      <c r="K77" s="22" t="s">
        <v>32</v>
      </c>
      <c r="L77" s="49">
        <f>C76+E76+G76+I76+L76</f>
        <v>796.6434247010872</v>
      </c>
    </row>
    <row r="78" spans="2:15" ht="15">
      <c r="B78" s="39">
        <f aca="true" t="shared" si="43" ref="B78:B86">D28</f>
        <v>18.835443037974684</v>
      </c>
      <c r="C78" s="39">
        <f aca="true" t="shared" si="44" ref="C78:C86">B78*C54</f>
        <v>223.20000000000005</v>
      </c>
      <c r="D78" s="39">
        <f aca="true" t="shared" si="45" ref="D78:D86">B78*E54</f>
        <v>0</v>
      </c>
      <c r="E78" s="39">
        <f aca="true" t="shared" si="46" ref="E78:E86">B78*G54</f>
        <v>228.92307692307693</v>
      </c>
      <c r="F78" s="39">
        <f aca="true" t="shared" si="47" ref="F78:F86">B78*I54</f>
        <v>0</v>
      </c>
      <c r="G78" s="39">
        <f aca="true" t="shared" si="48" ref="G78:G86">B78*L54</f>
        <v>0</v>
      </c>
      <c r="N78" s="47" t="s">
        <v>39</v>
      </c>
      <c r="O78" s="48">
        <f>B63/0.8</f>
        <v>116.01567254584496</v>
      </c>
    </row>
    <row r="79" spans="2:7" ht="15">
      <c r="B79" s="39">
        <f t="shared" si="43"/>
        <v>17.284403669724767</v>
      </c>
      <c r="C79" s="39">
        <f t="shared" si="44"/>
        <v>1412.9999999999998</v>
      </c>
      <c r="D79" s="39">
        <f t="shared" si="45"/>
        <v>1569.9999999999998</v>
      </c>
      <c r="E79" s="39">
        <f t="shared" si="46"/>
        <v>1883.9999999999995</v>
      </c>
      <c r="F79" s="39">
        <f t="shared" si="47"/>
        <v>235.49999999999994</v>
      </c>
      <c r="G79" s="39">
        <f t="shared" si="48"/>
        <v>241.43111111111108</v>
      </c>
    </row>
    <row r="80" spans="2:15" ht="15">
      <c r="B80" s="39">
        <f t="shared" si="43"/>
        <v>19.432835820895523</v>
      </c>
      <c r="C80" s="39">
        <f t="shared" si="44"/>
        <v>781.2</v>
      </c>
      <c r="D80" s="39">
        <f t="shared" si="45"/>
        <v>382.9411764705883</v>
      </c>
      <c r="E80" s="39">
        <f t="shared" si="46"/>
        <v>1041.6000000000001</v>
      </c>
      <c r="F80" s="39">
        <f t="shared" si="47"/>
        <v>153.1764705882353</v>
      </c>
      <c r="G80" s="39">
        <f t="shared" si="48"/>
        <v>179.9823529411765</v>
      </c>
      <c r="N80" s="51" t="s">
        <v>40</v>
      </c>
      <c r="O80" s="57">
        <f>H87/B63</f>
        <v>190.69417463455505</v>
      </c>
    </row>
    <row r="81" spans="2:15" ht="15">
      <c r="B81" s="39">
        <f t="shared" si="43"/>
        <v>16.4070796460177</v>
      </c>
      <c r="C81" s="39">
        <f t="shared" si="44"/>
        <v>794.5714285714287</v>
      </c>
      <c r="D81" s="39">
        <f t="shared" si="45"/>
        <v>1030</v>
      </c>
      <c r="E81" s="39">
        <f t="shared" si="46"/>
        <v>1059.4285714285713</v>
      </c>
      <c r="F81" s="39">
        <f t="shared" si="47"/>
        <v>132.42857142857142</v>
      </c>
      <c r="G81" s="39">
        <f t="shared" si="48"/>
        <v>219.16928571428573</v>
      </c>
      <c r="N81" s="10"/>
      <c r="O81" s="58"/>
    </row>
    <row r="82" spans="2:15" ht="15">
      <c r="B82" s="39">
        <f t="shared" si="43"/>
        <v>18.220183486238533</v>
      </c>
      <c r="C82" s="39">
        <f t="shared" si="44"/>
        <v>993</v>
      </c>
      <c r="D82" s="39">
        <f t="shared" si="45"/>
        <v>902.7272727272726</v>
      </c>
      <c r="E82" s="39">
        <f t="shared" si="46"/>
        <v>1324.0000000000002</v>
      </c>
      <c r="F82" s="39">
        <f t="shared" si="47"/>
        <v>248.25</v>
      </c>
      <c r="G82" s="39">
        <f t="shared" si="48"/>
        <v>299.7054545454545</v>
      </c>
      <c r="N82" s="53" t="s">
        <v>41</v>
      </c>
      <c r="O82" s="54">
        <f>H99/B76</f>
        <v>244.51423445434574</v>
      </c>
    </row>
    <row r="83" spans="2:15" ht="15">
      <c r="B83" s="39">
        <f t="shared" si="43"/>
        <v>18.692307692307693</v>
      </c>
      <c r="C83" s="39">
        <f t="shared" si="44"/>
        <v>218.7</v>
      </c>
      <c r="D83" s="39">
        <f t="shared" si="45"/>
        <v>0</v>
      </c>
      <c r="E83" s="39">
        <f t="shared" si="46"/>
        <v>291.6</v>
      </c>
      <c r="F83" s="39">
        <f t="shared" si="47"/>
        <v>0</v>
      </c>
      <c r="G83" s="39">
        <f t="shared" si="48"/>
        <v>0</v>
      </c>
      <c r="N83" s="10"/>
      <c r="O83" s="58"/>
    </row>
    <row r="84" spans="2:15" ht="15">
      <c r="B84" s="39">
        <f t="shared" si="43"/>
        <v>17.941176470588236</v>
      </c>
      <c r="C84" s="39">
        <f t="shared" si="44"/>
        <v>211.15384615384613</v>
      </c>
      <c r="D84" s="39">
        <f t="shared" si="45"/>
        <v>0</v>
      </c>
      <c r="E84" s="39">
        <f t="shared" si="46"/>
        <v>281.53846153846155</v>
      </c>
      <c r="F84" s="39">
        <f t="shared" si="47"/>
        <v>0</v>
      </c>
      <c r="G84" s="39">
        <f t="shared" si="48"/>
        <v>0</v>
      </c>
      <c r="N84" s="53" t="s">
        <v>42</v>
      </c>
      <c r="O84" s="54">
        <f>((O80*254)+(O82*112))/365</f>
        <v>207.73127292072246</v>
      </c>
    </row>
    <row r="85" spans="2:15" ht="15">
      <c r="B85" s="39">
        <f t="shared" si="43"/>
        <v>17.386363636363637</v>
      </c>
      <c r="C85" s="39">
        <f t="shared" si="44"/>
        <v>158.2758620689655</v>
      </c>
      <c r="D85" s="39">
        <f t="shared" si="45"/>
        <v>263.7931034482759</v>
      </c>
      <c r="E85" s="39">
        <f t="shared" si="46"/>
        <v>211.03448275862067</v>
      </c>
      <c r="F85" s="39">
        <f t="shared" si="47"/>
        <v>105.51724137931033</v>
      </c>
      <c r="G85" s="39">
        <f t="shared" si="48"/>
        <v>0</v>
      </c>
      <c r="N85" s="10"/>
      <c r="O85" s="12"/>
    </row>
    <row r="86" spans="2:15" ht="15">
      <c r="B86" s="40">
        <f t="shared" si="43"/>
        <v>17.104477611940297</v>
      </c>
      <c r="C86" s="40">
        <f t="shared" si="44"/>
        <v>156.27272727272725</v>
      </c>
      <c r="D86" s="40">
        <f t="shared" si="45"/>
        <v>260.45454545454544</v>
      </c>
      <c r="E86" s="40">
        <f t="shared" si="46"/>
        <v>134.8235294117647</v>
      </c>
      <c r="F86" s="40">
        <f t="shared" si="47"/>
        <v>67.41176470588235</v>
      </c>
      <c r="G86" s="40">
        <f t="shared" si="48"/>
        <v>0</v>
      </c>
      <c r="N86" s="59" t="s">
        <v>43</v>
      </c>
      <c r="O86" s="54">
        <f>(H87*254)+(H99*114)</f>
        <v>6083436.659054348</v>
      </c>
    </row>
    <row r="87" spans="2:15" ht="15">
      <c r="B87" s="5" t="s">
        <v>44</v>
      </c>
      <c r="C87" s="42">
        <f>SUM(C78:C86)</f>
        <v>4949.373864066966</v>
      </c>
      <c r="D87" s="42">
        <f>SUM(D78:D86)</f>
        <v>4409.916098100682</v>
      </c>
      <c r="E87" s="42">
        <f>SUM(E78:E86)</f>
        <v>6456.948122060496</v>
      </c>
      <c r="F87" s="42">
        <f>SUM(F78:F86)</f>
        <v>942.2840481019994</v>
      </c>
      <c r="G87" s="42">
        <f>SUM(G78:G86)</f>
        <v>940.2882043120278</v>
      </c>
      <c r="H87" s="43">
        <f>SUM(C87:G87)</f>
        <v>17698.81033664217</v>
      </c>
      <c r="N87" s="60"/>
      <c r="O87" s="58"/>
    </row>
    <row r="88" spans="14:15" ht="15">
      <c r="N88" s="61" t="s">
        <v>45</v>
      </c>
      <c r="O88" s="56">
        <f>O86/O78</f>
        <v>52436.33489820443</v>
      </c>
    </row>
    <row r="89" spans="1:7" ht="15">
      <c r="A89" s="41" t="s">
        <v>27</v>
      </c>
      <c r="B89" s="21" t="str">
        <f aca="true" t="shared" si="49" ref="B89:G89">B77</f>
        <v>V,km/h</v>
      </c>
      <c r="C89" s="21" t="str">
        <f t="shared" si="49"/>
        <v>6-9,00</v>
      </c>
      <c r="D89" s="21" t="str">
        <f t="shared" si="49"/>
        <v>9-15,00</v>
      </c>
      <c r="E89" s="21" t="str">
        <f t="shared" si="49"/>
        <v>15-19,00</v>
      </c>
      <c r="F89" s="21" t="str">
        <f t="shared" si="49"/>
        <v>19-22,00</v>
      </c>
      <c r="G89" s="21" t="str">
        <f t="shared" si="49"/>
        <v>22,00 later</v>
      </c>
    </row>
    <row r="90" spans="2:15" ht="15">
      <c r="B90" s="39">
        <f aca="true" t="shared" si="50" ref="B90:B98">B78</f>
        <v>18.835443037974684</v>
      </c>
      <c r="C90" s="39">
        <f aca="true" t="shared" si="51" ref="C90:C98">B90*C67</f>
        <v>0</v>
      </c>
      <c r="D90" s="39">
        <f aca="true" t="shared" si="52" ref="D90:D98">B90*E67</f>
        <v>0</v>
      </c>
      <c r="E90" s="39">
        <f aca="true" t="shared" si="53" ref="E90:E98">B90*G67</f>
        <v>0</v>
      </c>
      <c r="F90" s="39">
        <f aca="true" t="shared" si="54" ref="F90:F98">B90*I67</f>
        <v>0</v>
      </c>
      <c r="G90" s="39">
        <f aca="true" t="shared" si="55" ref="G90:G98">B90*L67</f>
        <v>0</v>
      </c>
      <c r="N90" s="51" t="s">
        <v>46</v>
      </c>
      <c r="O90" s="52">
        <f>O86/600000</f>
        <v>10.139061098423914</v>
      </c>
    </row>
    <row r="91" spans="2:15" ht="15">
      <c r="B91" s="39">
        <f t="shared" si="50"/>
        <v>17.284403669724767</v>
      </c>
      <c r="C91" s="39">
        <f t="shared" si="51"/>
        <v>1130.3999999999999</v>
      </c>
      <c r="D91" s="39">
        <f t="shared" si="52"/>
        <v>1883.9999999999995</v>
      </c>
      <c r="E91" s="39">
        <f t="shared" si="53"/>
        <v>1507.1999999999998</v>
      </c>
      <c r="F91" s="39">
        <f t="shared" si="54"/>
        <v>376.79999999999995</v>
      </c>
      <c r="G91" s="39">
        <f t="shared" si="55"/>
        <v>242.12888888888887</v>
      </c>
      <c r="N91" s="10"/>
      <c r="O91" s="12"/>
    </row>
    <row r="92" spans="2:15" ht="15">
      <c r="B92" s="39">
        <f t="shared" si="50"/>
        <v>19.432835820895523</v>
      </c>
      <c r="C92" s="39">
        <f t="shared" si="51"/>
        <v>229.76470588235296</v>
      </c>
      <c r="D92" s="39">
        <f t="shared" si="52"/>
        <v>382.9411764705883</v>
      </c>
      <c r="E92" s="39">
        <f t="shared" si="53"/>
        <v>306.3529411764706</v>
      </c>
      <c r="F92" s="39">
        <f t="shared" si="54"/>
        <v>153.1764705882353</v>
      </c>
      <c r="G92" s="39">
        <f t="shared" si="55"/>
        <v>179.9823529411765</v>
      </c>
      <c r="N92" s="53" t="s">
        <v>47</v>
      </c>
      <c r="O92" s="54">
        <f>(O86/325000)-O90</f>
        <v>8.579205544820235</v>
      </c>
    </row>
    <row r="93" spans="2:15" ht="15">
      <c r="B93" s="39">
        <f t="shared" si="50"/>
        <v>16.4070796460177</v>
      </c>
      <c r="C93" s="39">
        <f t="shared" si="51"/>
        <v>618</v>
      </c>
      <c r="D93" s="39">
        <f t="shared" si="52"/>
        <v>1030</v>
      </c>
      <c r="E93" s="39">
        <f t="shared" si="53"/>
        <v>824</v>
      </c>
      <c r="F93" s="39">
        <f t="shared" si="54"/>
        <v>195.1578947368421</v>
      </c>
      <c r="G93" s="39">
        <f t="shared" si="55"/>
        <v>231.75</v>
      </c>
      <c r="N93" s="10"/>
      <c r="O93" s="12"/>
    </row>
    <row r="94" spans="2:15" ht="15">
      <c r="B94" s="39">
        <f t="shared" si="50"/>
        <v>18.220183486238533</v>
      </c>
      <c r="C94" s="39">
        <f t="shared" si="51"/>
        <v>744.75</v>
      </c>
      <c r="D94" s="39">
        <f t="shared" si="52"/>
        <v>1241.25</v>
      </c>
      <c r="E94" s="39">
        <f t="shared" si="53"/>
        <v>993</v>
      </c>
      <c r="F94" s="39">
        <f t="shared" si="54"/>
        <v>248.25</v>
      </c>
      <c r="G94" s="39">
        <f t="shared" si="55"/>
        <v>300.6081818181818</v>
      </c>
      <c r="N94" s="55" t="s">
        <v>48</v>
      </c>
      <c r="O94" s="56">
        <f>(O86/65000)-O92-O90</f>
        <v>74.8730665729766</v>
      </c>
    </row>
    <row r="95" spans="2:7" ht="15">
      <c r="B95" s="39">
        <f t="shared" si="50"/>
        <v>18.692307692307693</v>
      </c>
      <c r="C95" s="39">
        <f t="shared" si="51"/>
        <v>0</v>
      </c>
      <c r="D95" s="39">
        <f t="shared" si="52"/>
        <v>0</v>
      </c>
      <c r="E95" s="39">
        <f t="shared" si="53"/>
        <v>0</v>
      </c>
      <c r="F95" s="39">
        <f t="shared" si="54"/>
        <v>0</v>
      </c>
      <c r="G95" s="39">
        <f t="shared" si="55"/>
        <v>0</v>
      </c>
    </row>
    <row r="96" spans="2:7" ht="15">
      <c r="B96" s="39">
        <f t="shared" si="50"/>
        <v>17.941176470588236</v>
      </c>
      <c r="C96" s="39">
        <f t="shared" si="51"/>
        <v>0</v>
      </c>
      <c r="D96" s="39">
        <f t="shared" si="52"/>
        <v>0</v>
      </c>
      <c r="E96" s="39">
        <f t="shared" si="53"/>
        <v>0</v>
      </c>
      <c r="F96" s="39">
        <f t="shared" si="54"/>
        <v>0</v>
      </c>
      <c r="G96" s="39">
        <f t="shared" si="55"/>
        <v>0</v>
      </c>
    </row>
    <row r="97" spans="2:7" ht="15">
      <c r="B97" s="39">
        <f t="shared" si="50"/>
        <v>17.386363636363637</v>
      </c>
      <c r="C97" s="39">
        <f t="shared" si="51"/>
        <v>104.31818181818181</v>
      </c>
      <c r="D97" s="39">
        <f t="shared" si="52"/>
        <v>173.86363636363637</v>
      </c>
      <c r="E97" s="39">
        <f t="shared" si="53"/>
        <v>139.0909090909091</v>
      </c>
      <c r="F97" s="39">
        <f t="shared" si="54"/>
        <v>0</v>
      </c>
      <c r="G97" s="39">
        <f t="shared" si="55"/>
        <v>0</v>
      </c>
    </row>
    <row r="98" spans="2:7" ht="15">
      <c r="B98" s="40">
        <f t="shared" si="50"/>
        <v>17.104477611940297</v>
      </c>
      <c r="C98" s="40">
        <f t="shared" si="51"/>
        <v>156.27272727272725</v>
      </c>
      <c r="D98" s="40">
        <f t="shared" si="52"/>
        <v>260.45454545454544</v>
      </c>
      <c r="E98" s="40">
        <f t="shared" si="53"/>
        <v>208.36363636363635</v>
      </c>
      <c r="F98" s="40">
        <f t="shared" si="54"/>
        <v>67.41176470588235</v>
      </c>
      <c r="G98" s="40">
        <f t="shared" si="55"/>
        <v>0</v>
      </c>
    </row>
    <row r="99" spans="2:8" ht="15">
      <c r="B99" s="5" t="s">
        <v>44</v>
      </c>
      <c r="C99" s="42">
        <f>SUM(C90:C98)</f>
        <v>2983.505614973262</v>
      </c>
      <c r="D99" s="42">
        <f>SUM(D90:D98)</f>
        <v>4972.509358288768</v>
      </c>
      <c r="E99" s="42">
        <f>SUM(E90:E98)</f>
        <v>3978.007486631016</v>
      </c>
      <c r="F99" s="42">
        <f>SUM(F90:F98)</f>
        <v>1040.7961300309598</v>
      </c>
      <c r="G99" s="42">
        <f>SUM(G90:G98)</f>
        <v>954.4694236482471</v>
      </c>
      <c r="H99" s="43">
        <f>SUM(C99:G99)</f>
        <v>13929.288013572253</v>
      </c>
    </row>
    <row r="100" ht="15">
      <c r="H100" s="50"/>
    </row>
    <row r="103" spans="2:10" ht="15">
      <c r="B103" s="7" t="s">
        <v>49</v>
      </c>
      <c r="C103" s="8" t="s">
        <v>50</v>
      </c>
      <c r="D103" s="8" t="s">
        <v>51</v>
      </c>
      <c r="E103" s="8" t="s">
        <v>52</v>
      </c>
      <c r="F103" s="8" t="s">
        <v>53</v>
      </c>
      <c r="G103" s="8" t="s">
        <v>54</v>
      </c>
      <c r="H103" s="8" t="s">
        <v>55</v>
      </c>
      <c r="I103" s="8" t="s">
        <v>56</v>
      </c>
      <c r="J103" s="9" t="s">
        <v>57</v>
      </c>
    </row>
    <row r="104" spans="2:10" ht="15">
      <c r="B104" s="10">
        <v>230</v>
      </c>
      <c r="C104" s="11" t="s">
        <v>58</v>
      </c>
      <c r="D104" s="11">
        <v>10.1</v>
      </c>
      <c r="E104" s="11">
        <v>1</v>
      </c>
      <c r="F104" s="11">
        <v>1</v>
      </c>
      <c r="G104" s="11">
        <v>1.25</v>
      </c>
      <c r="H104" s="11">
        <v>1</v>
      </c>
      <c r="I104" s="11">
        <v>1.15</v>
      </c>
      <c r="J104" s="63">
        <f aca="true" t="shared" si="56" ref="J104:J109">D104*E104*F104*G104*H104*I104</f>
        <v>14.518749999999999</v>
      </c>
    </row>
    <row r="105" spans="2:10" ht="15">
      <c r="B105" s="10">
        <f>B104+2.5</f>
        <v>232.5</v>
      </c>
      <c r="C105" s="11" t="s">
        <v>58</v>
      </c>
      <c r="D105" s="11">
        <v>10.1</v>
      </c>
      <c r="E105" s="11">
        <v>1</v>
      </c>
      <c r="F105" s="11">
        <v>1</v>
      </c>
      <c r="G105" s="11">
        <v>1.25</v>
      </c>
      <c r="H105" s="11">
        <v>1</v>
      </c>
      <c r="I105" s="11">
        <v>1.15</v>
      </c>
      <c r="J105" s="63">
        <f t="shared" si="56"/>
        <v>14.518749999999999</v>
      </c>
    </row>
    <row r="106" spans="2:10" ht="15">
      <c r="B106" s="10">
        <f>B105+2.5</f>
        <v>235</v>
      </c>
      <c r="C106" s="11" t="s">
        <v>59</v>
      </c>
      <c r="D106" s="11">
        <v>32.6</v>
      </c>
      <c r="E106" s="11">
        <v>1</v>
      </c>
      <c r="F106" s="11">
        <v>1</v>
      </c>
      <c r="G106" s="11">
        <v>1.25</v>
      </c>
      <c r="H106" s="11">
        <v>1</v>
      </c>
      <c r="I106" s="11">
        <v>1.15</v>
      </c>
      <c r="J106" s="63">
        <f t="shared" si="56"/>
        <v>46.8625</v>
      </c>
    </row>
    <row r="107" spans="2:10" ht="15">
      <c r="B107" s="10">
        <f>B106+2.5</f>
        <v>237.5</v>
      </c>
      <c r="C107" s="11" t="s">
        <v>58</v>
      </c>
      <c r="D107" s="11">
        <v>10.1</v>
      </c>
      <c r="E107" s="11">
        <v>1</v>
      </c>
      <c r="F107" s="11">
        <v>1</v>
      </c>
      <c r="G107" s="11">
        <v>1.25</v>
      </c>
      <c r="H107" s="11">
        <v>1</v>
      </c>
      <c r="I107" s="11">
        <v>1.15</v>
      </c>
      <c r="J107" s="63">
        <f t="shared" si="56"/>
        <v>14.518749999999999</v>
      </c>
    </row>
    <row r="108" spans="2:10" ht="15">
      <c r="B108" s="10">
        <f>B107+2.5</f>
        <v>240</v>
      </c>
      <c r="C108" s="11" t="s">
        <v>58</v>
      </c>
      <c r="D108" s="11">
        <v>10.1</v>
      </c>
      <c r="E108" s="11">
        <v>1</v>
      </c>
      <c r="F108" s="11">
        <v>1</v>
      </c>
      <c r="G108" s="11">
        <v>1.25</v>
      </c>
      <c r="H108" s="11">
        <v>1</v>
      </c>
      <c r="I108" s="11">
        <v>1.15</v>
      </c>
      <c r="J108" s="63">
        <f t="shared" si="56"/>
        <v>14.518749999999999</v>
      </c>
    </row>
    <row r="109" spans="2:10" ht="15">
      <c r="B109" s="10">
        <f>B108+2.5</f>
        <v>242.5</v>
      </c>
      <c r="C109" s="11" t="s">
        <v>58</v>
      </c>
      <c r="D109" s="11">
        <v>10.1</v>
      </c>
      <c r="E109" s="11">
        <v>1</v>
      </c>
      <c r="F109" s="11">
        <v>1</v>
      </c>
      <c r="G109" s="11">
        <v>1.25</v>
      </c>
      <c r="H109" s="11">
        <v>1</v>
      </c>
      <c r="I109" s="11">
        <v>1.15</v>
      </c>
      <c r="J109" s="63">
        <f t="shared" si="56"/>
        <v>14.518749999999999</v>
      </c>
    </row>
    <row r="110" spans="2:10" ht="15">
      <c r="B110" s="10"/>
      <c r="C110" s="11"/>
      <c r="D110" s="11"/>
      <c r="E110" s="11"/>
      <c r="F110" s="11"/>
      <c r="G110" s="11"/>
      <c r="H110" s="11"/>
      <c r="I110" s="11"/>
      <c r="J110" s="63"/>
    </row>
    <row r="111" spans="2:10" ht="15">
      <c r="B111" s="10">
        <f>B109+2.5</f>
        <v>245</v>
      </c>
      <c r="C111" s="11" t="s">
        <v>60</v>
      </c>
      <c r="D111" s="11">
        <v>39.12</v>
      </c>
      <c r="E111" s="11">
        <v>1</v>
      </c>
      <c r="F111" s="11">
        <v>1</v>
      </c>
      <c r="G111" s="11">
        <v>1</v>
      </c>
      <c r="H111" s="11">
        <v>1</v>
      </c>
      <c r="I111" s="11">
        <v>1.15</v>
      </c>
      <c r="J111" s="63">
        <f aca="true" t="shared" si="57" ref="J111:J120">D111*E111*F111*G111*H111*I111</f>
        <v>44.98799999999999</v>
      </c>
    </row>
    <row r="112" spans="2:10" ht="15">
      <c r="B112" s="10">
        <f aca="true" t="shared" si="58" ref="B112:B120">B111+2.5</f>
        <v>247.5</v>
      </c>
      <c r="C112" s="11" t="s">
        <v>58</v>
      </c>
      <c r="D112" s="11">
        <v>10.1</v>
      </c>
      <c r="E112" s="11">
        <v>1</v>
      </c>
      <c r="F112" s="11">
        <v>1</v>
      </c>
      <c r="G112" s="11">
        <v>1</v>
      </c>
      <c r="H112" s="11">
        <v>1</v>
      </c>
      <c r="I112" s="11">
        <v>1.15</v>
      </c>
      <c r="J112" s="63">
        <f t="shared" si="57"/>
        <v>11.614999999999998</v>
      </c>
    </row>
    <row r="113" spans="2:10" ht="15">
      <c r="B113" s="10">
        <f t="shared" si="58"/>
        <v>250</v>
      </c>
      <c r="C113" s="11" t="s">
        <v>58</v>
      </c>
      <c r="D113" s="11">
        <v>10.1</v>
      </c>
      <c r="E113" s="11">
        <v>1</v>
      </c>
      <c r="F113" s="11">
        <v>1</v>
      </c>
      <c r="G113" s="11">
        <v>1</v>
      </c>
      <c r="H113" s="11">
        <v>1</v>
      </c>
      <c r="I113" s="11">
        <v>1.15</v>
      </c>
      <c r="J113" s="63">
        <f t="shared" si="57"/>
        <v>11.614999999999998</v>
      </c>
    </row>
    <row r="114" spans="2:10" ht="15">
      <c r="B114" s="10">
        <f t="shared" si="58"/>
        <v>252.5</v>
      </c>
      <c r="C114" s="11" t="s">
        <v>58</v>
      </c>
      <c r="D114" s="11">
        <v>10.1</v>
      </c>
      <c r="E114" s="11">
        <v>1</v>
      </c>
      <c r="F114" s="11">
        <v>1</v>
      </c>
      <c r="G114" s="11">
        <v>1</v>
      </c>
      <c r="H114" s="11">
        <v>1</v>
      </c>
      <c r="I114" s="11">
        <v>1.15</v>
      </c>
      <c r="J114" s="63">
        <f t="shared" si="57"/>
        <v>11.614999999999998</v>
      </c>
    </row>
    <row r="115" spans="2:10" ht="15">
      <c r="B115" s="10">
        <f t="shared" si="58"/>
        <v>255</v>
      </c>
      <c r="C115" s="11" t="s">
        <v>59</v>
      </c>
      <c r="D115" s="11">
        <v>32.6</v>
      </c>
      <c r="E115" s="11">
        <v>1</v>
      </c>
      <c r="F115" s="11">
        <v>1</v>
      </c>
      <c r="G115" s="11">
        <v>1</v>
      </c>
      <c r="H115" s="11">
        <v>1</v>
      </c>
      <c r="I115" s="11">
        <v>1.15</v>
      </c>
      <c r="J115" s="63">
        <f t="shared" si="57"/>
        <v>37.49</v>
      </c>
    </row>
    <row r="116" spans="2:10" ht="15">
      <c r="B116" s="10">
        <f t="shared" si="58"/>
        <v>257.5</v>
      </c>
      <c r="C116" s="11" t="s">
        <v>58</v>
      </c>
      <c r="D116" s="11">
        <v>10.1</v>
      </c>
      <c r="E116" s="11">
        <v>1</v>
      </c>
      <c r="F116" s="11">
        <v>1</v>
      </c>
      <c r="G116" s="11">
        <v>1</v>
      </c>
      <c r="H116" s="11">
        <v>1</v>
      </c>
      <c r="I116" s="11">
        <v>1.15</v>
      </c>
      <c r="J116" s="63">
        <f t="shared" si="57"/>
        <v>11.614999999999998</v>
      </c>
    </row>
    <row r="117" spans="2:10" ht="15">
      <c r="B117" s="10">
        <f t="shared" si="58"/>
        <v>260</v>
      </c>
      <c r="C117" s="11" t="s">
        <v>61</v>
      </c>
      <c r="D117" s="11">
        <v>1723</v>
      </c>
      <c r="E117" s="11">
        <v>1</v>
      </c>
      <c r="F117" s="11">
        <v>1</v>
      </c>
      <c r="G117" s="11">
        <v>1</v>
      </c>
      <c r="H117" s="11">
        <v>1</v>
      </c>
      <c r="I117" s="11">
        <v>1.15</v>
      </c>
      <c r="J117" s="63">
        <f t="shared" si="57"/>
        <v>1981.4499999999998</v>
      </c>
    </row>
    <row r="118" spans="2:10" ht="15">
      <c r="B118" s="10">
        <f t="shared" si="58"/>
        <v>262.5</v>
      </c>
      <c r="C118" s="11" t="s">
        <v>58</v>
      </c>
      <c r="D118" s="11">
        <v>10.1</v>
      </c>
      <c r="E118" s="11">
        <v>1</v>
      </c>
      <c r="F118" s="11">
        <v>1</v>
      </c>
      <c r="G118" s="11">
        <v>1</v>
      </c>
      <c r="H118" s="11">
        <v>1</v>
      </c>
      <c r="I118" s="11">
        <v>1.15</v>
      </c>
      <c r="J118" s="63">
        <f t="shared" si="57"/>
        <v>11.614999999999998</v>
      </c>
    </row>
    <row r="119" spans="2:10" ht="15">
      <c r="B119" s="10">
        <f t="shared" si="58"/>
        <v>265</v>
      </c>
      <c r="C119" s="11" t="s">
        <v>58</v>
      </c>
      <c r="D119" s="11">
        <v>10.1</v>
      </c>
      <c r="E119" s="11">
        <v>1</v>
      </c>
      <c r="F119" s="11">
        <v>1</v>
      </c>
      <c r="G119" s="11">
        <v>1</v>
      </c>
      <c r="H119" s="11">
        <v>1</v>
      </c>
      <c r="I119" s="11">
        <v>1.15</v>
      </c>
      <c r="J119" s="63">
        <f t="shared" si="57"/>
        <v>11.614999999999998</v>
      </c>
    </row>
    <row r="120" spans="2:10" ht="15">
      <c r="B120" s="10">
        <f t="shared" si="58"/>
        <v>267.5</v>
      </c>
      <c r="C120" s="11" t="s">
        <v>58</v>
      </c>
      <c r="D120" s="11">
        <v>10.1</v>
      </c>
      <c r="E120" s="11">
        <v>1</v>
      </c>
      <c r="F120" s="11">
        <v>1</v>
      </c>
      <c r="G120" s="11">
        <v>1</v>
      </c>
      <c r="H120" s="11">
        <v>1</v>
      </c>
      <c r="I120" s="11">
        <v>1.15</v>
      </c>
      <c r="J120" s="63">
        <f t="shared" si="57"/>
        <v>11.614999999999998</v>
      </c>
    </row>
    <row r="121" spans="2:10" ht="15">
      <c r="B121" s="10"/>
      <c r="C121" s="11"/>
      <c r="D121" s="11"/>
      <c r="E121" s="11"/>
      <c r="F121" s="11"/>
      <c r="G121" s="11"/>
      <c r="H121" s="11"/>
      <c r="I121" s="11"/>
      <c r="J121" s="63"/>
    </row>
    <row r="122" spans="2:10" ht="15">
      <c r="B122" s="10">
        <f>B120+2.5</f>
        <v>270</v>
      </c>
      <c r="C122" s="11" t="s">
        <v>62</v>
      </c>
      <c r="D122" s="11">
        <v>42.38</v>
      </c>
      <c r="E122" s="11">
        <v>1</v>
      </c>
      <c r="F122" s="11">
        <v>1</v>
      </c>
      <c r="G122" s="11">
        <v>1.25</v>
      </c>
      <c r="H122" s="11">
        <v>1</v>
      </c>
      <c r="I122" s="11">
        <v>1.15</v>
      </c>
      <c r="J122" s="63">
        <f>D122*E122*F122*G122*H122*I122</f>
        <v>60.92124999999999</v>
      </c>
    </row>
    <row r="123" spans="2:10" ht="15">
      <c r="B123" s="10">
        <f>B122+2.5</f>
        <v>272.5</v>
      </c>
      <c r="C123" s="11" t="s">
        <v>58</v>
      </c>
      <c r="D123" s="11">
        <v>10.1</v>
      </c>
      <c r="E123" s="11">
        <v>1</v>
      </c>
      <c r="F123" s="11">
        <v>1</v>
      </c>
      <c r="G123" s="11">
        <v>1.25</v>
      </c>
      <c r="H123" s="11">
        <v>1</v>
      </c>
      <c r="I123" s="11">
        <v>1.15</v>
      </c>
      <c r="J123" s="63">
        <f>D123*E123*F123*G123*H123*I123</f>
        <v>14.518749999999999</v>
      </c>
    </row>
    <row r="124" spans="2:10" ht="15">
      <c r="B124" s="10">
        <f>B123+2.5</f>
        <v>275</v>
      </c>
      <c r="C124" s="11" t="s">
        <v>58</v>
      </c>
      <c r="D124" s="11">
        <v>10.1</v>
      </c>
      <c r="E124" s="11">
        <v>1</v>
      </c>
      <c r="F124" s="11">
        <v>1</v>
      </c>
      <c r="G124" s="11">
        <v>1.25</v>
      </c>
      <c r="H124" s="11">
        <v>1</v>
      </c>
      <c r="I124" s="11">
        <v>1.15</v>
      </c>
      <c r="J124" s="63">
        <f>D124*E124*F124*G124*H124*I124</f>
        <v>14.518749999999999</v>
      </c>
    </row>
    <row r="125" spans="2:10" ht="15">
      <c r="B125" s="10">
        <f>B124+2.5</f>
        <v>277.5</v>
      </c>
      <c r="C125" s="15" t="s">
        <v>58</v>
      </c>
      <c r="D125" s="15">
        <v>10.1</v>
      </c>
      <c r="E125" s="15">
        <v>1</v>
      </c>
      <c r="F125" s="15">
        <v>1</v>
      </c>
      <c r="G125" s="15">
        <v>1.25</v>
      </c>
      <c r="H125" s="15">
        <v>1</v>
      </c>
      <c r="I125" s="11">
        <v>1.15</v>
      </c>
      <c r="J125" s="64">
        <f>D125*E125*F125*G125*H125*I125</f>
        <v>14.518749999999999</v>
      </c>
    </row>
    <row r="127" spans="2:6" ht="15">
      <c r="B127" s="7" t="s">
        <v>63</v>
      </c>
      <c r="C127" s="22" t="s">
        <v>64</v>
      </c>
      <c r="D127" s="24"/>
      <c r="E127" s="21" t="s">
        <v>65</v>
      </c>
      <c r="F127" s="9"/>
    </row>
    <row r="128" spans="2:6" ht="15">
      <c r="B128" s="25"/>
      <c r="C128" s="25" t="s">
        <v>66</v>
      </c>
      <c r="D128" s="25" t="s">
        <v>67</v>
      </c>
      <c r="E128" s="25" t="s">
        <v>66</v>
      </c>
      <c r="F128" s="65" t="s">
        <v>67</v>
      </c>
    </row>
    <row r="129" spans="2:6" ht="15">
      <c r="B129" s="19"/>
      <c r="C129" s="19"/>
      <c r="D129" s="19"/>
      <c r="E129" s="19"/>
      <c r="F129" s="19"/>
    </row>
    <row r="130" spans="2:6" ht="15">
      <c r="B130" s="19" t="s">
        <v>68</v>
      </c>
      <c r="C130" s="19">
        <v>1</v>
      </c>
      <c r="D130" s="82">
        <f>O78*C130</f>
        <v>116.01567254584496</v>
      </c>
      <c r="E130" s="66">
        <f>J117</f>
        <v>1981.4499999999998</v>
      </c>
      <c r="F130" s="80">
        <f>E130*D130</f>
        <v>229879.25436596447</v>
      </c>
    </row>
    <row r="131" spans="2:6" ht="15">
      <c r="B131" s="19"/>
      <c r="C131" s="19"/>
      <c r="D131" s="81"/>
      <c r="E131" s="19"/>
      <c r="F131" s="79"/>
    </row>
    <row r="132" spans="2:6" ht="15">
      <c r="B132" s="19" t="s">
        <v>69</v>
      </c>
      <c r="C132" s="19">
        <v>4</v>
      </c>
      <c r="D132" s="81">
        <f>C132*D130</f>
        <v>464.06269018337986</v>
      </c>
      <c r="E132" s="66">
        <f>J122+J115+J106+J111</f>
        <v>190.26175</v>
      </c>
      <c r="F132" s="79">
        <f>E132*D130</f>
        <v>22073.34488599942</v>
      </c>
    </row>
    <row r="133" spans="2:6" ht="15">
      <c r="B133" s="19"/>
      <c r="C133" s="19"/>
      <c r="D133" s="81"/>
      <c r="E133" s="19"/>
      <c r="F133" s="79"/>
    </row>
    <row r="134" spans="2:6" ht="15">
      <c r="B134" s="19" t="s">
        <v>70</v>
      </c>
      <c r="C134" s="19">
        <v>15</v>
      </c>
      <c r="D134" s="81">
        <f>C134*D130</f>
        <v>1740.2350881876744</v>
      </c>
      <c r="E134" s="66">
        <f>(J104*2)+(J107*3)+(J112*3)+(J116)+(J118*3)+(J123*3)</f>
        <v>197.455</v>
      </c>
      <c r="F134" s="79">
        <f>E134*D130</f>
        <v>22907.874622539817</v>
      </c>
    </row>
    <row r="135" spans="2:6" ht="15">
      <c r="B135" s="20"/>
      <c r="C135" s="20"/>
      <c r="D135" s="20"/>
      <c r="E135" s="20"/>
      <c r="F135" s="20"/>
    </row>
    <row r="138" spans="2:7" ht="15">
      <c r="B138" s="7" t="s">
        <v>71</v>
      </c>
      <c r="C138" s="8" t="s">
        <v>64</v>
      </c>
      <c r="D138" s="8" t="s">
        <v>72</v>
      </c>
      <c r="E138" s="8" t="s">
        <v>73</v>
      </c>
      <c r="F138" s="8" t="s">
        <v>74</v>
      </c>
      <c r="G138" s="9" t="s">
        <v>75</v>
      </c>
    </row>
    <row r="139" spans="2:7" ht="15">
      <c r="B139" s="10" t="s">
        <v>68</v>
      </c>
      <c r="C139" s="78">
        <f>D130</f>
        <v>116.01567254584496</v>
      </c>
      <c r="D139" s="11">
        <v>8</v>
      </c>
      <c r="E139" s="74">
        <f>C139*D139*8</f>
        <v>7425.003042934078</v>
      </c>
      <c r="F139" s="73">
        <f>C139*D139*24</f>
        <v>22275.009128802234</v>
      </c>
      <c r="G139" s="76">
        <f>C139*D139*O70</f>
        <v>10950.280115147458</v>
      </c>
    </row>
    <row r="140" spans="2:7" ht="15">
      <c r="B140" s="10" t="s">
        <v>69</v>
      </c>
      <c r="C140" s="77">
        <f>D132</f>
        <v>464.06269018337986</v>
      </c>
      <c r="D140" s="11">
        <v>1</v>
      </c>
      <c r="E140" s="73">
        <f>C140*D140*8</f>
        <v>3712.501521467039</v>
      </c>
      <c r="F140" s="73">
        <f>C140*D140*24</f>
        <v>11137.504564401117</v>
      </c>
      <c r="G140" s="75">
        <f>C140*D140</f>
        <v>464.06269018337986</v>
      </c>
    </row>
    <row r="141" spans="2:7" ht="15">
      <c r="B141" s="14" t="s">
        <v>70</v>
      </c>
      <c r="C141" s="77">
        <f>D134</f>
        <v>1740.2350881876744</v>
      </c>
      <c r="D141" s="67">
        <v>2</v>
      </c>
      <c r="E141" s="73">
        <f>C141*D141</f>
        <v>3480.4701763753487</v>
      </c>
      <c r="F141" s="73">
        <f>C141*D141</f>
        <v>3480.4701763753487</v>
      </c>
      <c r="G141" s="75">
        <f>C141*D141</f>
        <v>3480.4701763753487</v>
      </c>
    </row>
    <row r="142" ht="15">
      <c r="G142" s="75">
        <f>SUM(G139:G141)</f>
        <v>14894.812981706187</v>
      </c>
    </row>
    <row r="146" ht="15">
      <c r="B146" s="5" t="s">
        <v>76</v>
      </c>
    </row>
    <row r="148" spans="2:3" ht="15">
      <c r="B148" s="5" t="s">
        <v>77</v>
      </c>
      <c r="C148" s="71">
        <f>G140/(24*254)</f>
        <v>0.07612576938703738</v>
      </c>
    </row>
    <row r="149" spans="2:3" ht="15">
      <c r="B149" s="5" t="s">
        <v>78</v>
      </c>
      <c r="C149" s="71">
        <f>G141/(8*254)</f>
        <v>1.7128298112083409</v>
      </c>
    </row>
    <row r="150" spans="2:3" ht="15">
      <c r="B150" s="5" t="s">
        <v>79</v>
      </c>
      <c r="C150" s="71">
        <f>G139/(8*254)</f>
        <v>5.388917379501701</v>
      </c>
    </row>
    <row r="152" ht="15">
      <c r="B152" s="5" t="s">
        <v>80</v>
      </c>
    </row>
    <row r="154" spans="2:9" ht="15">
      <c r="B154" s="7" t="s">
        <v>63</v>
      </c>
      <c r="C154" s="8" t="s">
        <v>81</v>
      </c>
      <c r="D154" s="7" t="s">
        <v>82</v>
      </c>
      <c r="E154" s="9"/>
      <c r="F154" s="7" t="s">
        <v>83</v>
      </c>
      <c r="G154" s="9" t="s">
        <v>84</v>
      </c>
      <c r="H154" s="11"/>
      <c r="I154" s="11"/>
    </row>
    <row r="155" spans="2:9" ht="15">
      <c r="B155" s="14"/>
      <c r="C155" s="15"/>
      <c r="D155" s="14" t="s">
        <v>85</v>
      </c>
      <c r="E155" s="17" t="s">
        <v>86</v>
      </c>
      <c r="F155" s="14" t="s">
        <v>85</v>
      </c>
      <c r="G155" s="17" t="s">
        <v>86</v>
      </c>
      <c r="H155" s="11"/>
      <c r="I155" s="11"/>
    </row>
    <row r="156" spans="2:7" ht="15">
      <c r="B156" s="7" t="s">
        <v>61</v>
      </c>
      <c r="C156" s="9">
        <v>116</v>
      </c>
      <c r="D156" s="7">
        <v>6</v>
      </c>
      <c r="E156" s="9">
        <v>5</v>
      </c>
      <c r="F156" s="68">
        <f>254*(D156-C150)</f>
        <v>155.21498560656786</v>
      </c>
      <c r="G156" s="69">
        <f>254*(C150-E156)</f>
        <v>98.78501439343215</v>
      </c>
    </row>
    <row r="157" spans="2:7" ht="15">
      <c r="B157" s="10" t="s">
        <v>58</v>
      </c>
      <c r="C157" s="87">
        <f>C141</f>
        <v>1740.2350881876744</v>
      </c>
      <c r="D157" s="10">
        <v>2</v>
      </c>
      <c r="E157" s="12">
        <v>1</v>
      </c>
      <c r="F157" s="31">
        <f>254*(D157-C149)</f>
        <v>72.94122795308142</v>
      </c>
      <c r="G157" s="58">
        <f>254*(C149-E157)</f>
        <v>181.0587720469186</v>
      </c>
    </row>
    <row r="158" spans="2:7" ht="15">
      <c r="B158" s="14" t="s">
        <v>59</v>
      </c>
      <c r="C158" s="88">
        <f>C140</f>
        <v>464.06269018337986</v>
      </c>
      <c r="D158" s="14">
        <v>1</v>
      </c>
      <c r="E158" s="17">
        <v>0</v>
      </c>
      <c r="F158" s="32">
        <f>254*(D158-C148)</f>
        <v>234.6640545756925</v>
      </c>
      <c r="G158" s="70">
        <f>254*(C148-E158)</f>
        <v>19.335945424307496</v>
      </c>
    </row>
    <row r="159" ht="15">
      <c r="D159" s="5">
        <f>SUM(D156:D158)</f>
        <v>9</v>
      </c>
    </row>
    <row r="161" spans="2:3" ht="15">
      <c r="B161" s="5" t="s">
        <v>87</v>
      </c>
      <c r="C161" s="5">
        <f>D159</f>
        <v>9</v>
      </c>
    </row>
    <row r="163" spans="2:3" ht="15">
      <c r="B163" s="5" t="s">
        <v>88</v>
      </c>
      <c r="C163" s="5">
        <f>(1.1*93)+C161</f>
        <v>111.30000000000001</v>
      </c>
    </row>
    <row r="165" spans="2:3" ht="15">
      <c r="B165" s="5" t="s">
        <v>89</v>
      </c>
      <c r="C165" s="71">
        <f>93/C163</f>
        <v>0.8355795148247978</v>
      </c>
    </row>
    <row r="167" spans="2:3" ht="15">
      <c r="B167" s="5" t="s">
        <v>90</v>
      </c>
      <c r="C167" s="5">
        <f>365*C169*C163</f>
        <v>38099.99999999999</v>
      </c>
    </row>
    <row r="169" spans="2:3" ht="15">
      <c r="B169" s="5" t="s">
        <v>91</v>
      </c>
      <c r="C169" s="71">
        <f>((93*254)+(57*254))/(365*C163)</f>
        <v>0.9378576967101132</v>
      </c>
    </row>
    <row r="171" ht="15">
      <c r="B171" s="5" t="s">
        <v>92</v>
      </c>
    </row>
    <row r="173" spans="2:3" ht="15">
      <c r="B173" s="5" t="s">
        <v>93</v>
      </c>
      <c r="C173" s="5">
        <f>2.25*C163</f>
        <v>250.425</v>
      </c>
    </row>
    <row r="175" spans="2:3" ht="15">
      <c r="B175" s="5" t="s">
        <v>94</v>
      </c>
      <c r="C175" s="71">
        <f>C173/8</f>
        <v>31.303125</v>
      </c>
    </row>
    <row r="177" spans="2:3" ht="15">
      <c r="B177" s="5" t="s">
        <v>95</v>
      </c>
      <c r="C177" s="72">
        <f>C175/8</f>
        <v>3.912890625</v>
      </c>
    </row>
    <row r="180" spans="2:16" ht="15">
      <c r="B180" s="21" t="s">
        <v>96</v>
      </c>
      <c r="C180" s="7">
        <v>1</v>
      </c>
      <c r="D180" s="9"/>
      <c r="E180" s="7">
        <v>2</v>
      </c>
      <c r="F180" s="9"/>
      <c r="G180" s="7">
        <v>3</v>
      </c>
      <c r="H180" s="9"/>
      <c r="I180" s="7">
        <v>4</v>
      </c>
      <c r="J180" s="9"/>
      <c r="K180" s="7">
        <v>5</v>
      </c>
      <c r="L180" s="9"/>
      <c r="M180" s="7">
        <v>6</v>
      </c>
      <c r="N180" s="9"/>
      <c r="O180" s="7">
        <v>7</v>
      </c>
      <c r="P180" s="9"/>
    </row>
    <row r="181" spans="2:16" ht="15">
      <c r="B181" s="19" t="s">
        <v>97</v>
      </c>
      <c r="C181" s="10" t="s">
        <v>98</v>
      </c>
      <c r="D181" s="12" t="s">
        <v>99</v>
      </c>
      <c r="E181" s="10" t="s">
        <v>98</v>
      </c>
      <c r="F181" s="12" t="s">
        <v>99</v>
      </c>
      <c r="G181" s="10" t="s">
        <v>98</v>
      </c>
      <c r="H181" s="12" t="s">
        <v>99</v>
      </c>
      <c r="I181" s="10" t="s">
        <v>98</v>
      </c>
      <c r="J181" s="12" t="s">
        <v>99</v>
      </c>
      <c r="K181" s="10" t="s">
        <v>98</v>
      </c>
      <c r="L181" s="12" t="s">
        <v>99</v>
      </c>
      <c r="M181" s="10" t="s">
        <v>98</v>
      </c>
      <c r="N181" s="12" t="s">
        <v>99</v>
      </c>
      <c r="O181" s="10" t="s">
        <v>98</v>
      </c>
      <c r="P181" s="12" t="s">
        <v>99</v>
      </c>
    </row>
    <row r="182" spans="2:16" ht="15">
      <c r="B182" s="20" t="s">
        <v>100</v>
      </c>
      <c r="C182" s="14"/>
      <c r="D182" s="17"/>
      <c r="E182" s="14"/>
      <c r="F182" s="17"/>
      <c r="G182" s="14"/>
      <c r="H182" s="17"/>
      <c r="I182" s="14"/>
      <c r="J182" s="17"/>
      <c r="K182" s="14"/>
      <c r="L182" s="17"/>
      <c r="M182" s="14"/>
      <c r="N182" s="17"/>
      <c r="O182" s="14"/>
      <c r="P182" s="17"/>
    </row>
    <row r="183" spans="2:16" ht="15">
      <c r="B183" s="7">
        <v>1</v>
      </c>
      <c r="C183" s="7" t="s">
        <v>101</v>
      </c>
      <c r="D183" s="9"/>
      <c r="E183" s="7"/>
      <c r="F183" s="9" t="s">
        <v>102</v>
      </c>
      <c r="G183" s="7"/>
      <c r="H183" s="9"/>
      <c r="I183" s="7"/>
      <c r="J183" s="9" t="s">
        <v>102</v>
      </c>
      <c r="K183" s="7"/>
      <c r="L183" s="9"/>
      <c r="M183" s="7"/>
      <c r="N183" s="90" t="s">
        <v>102</v>
      </c>
      <c r="O183" s="8"/>
      <c r="P183" s="9"/>
    </row>
    <row r="184" spans="2:16" ht="15">
      <c r="B184" s="10">
        <v>2</v>
      </c>
      <c r="C184" s="10"/>
      <c r="D184" s="12"/>
      <c r="E184" s="10" t="s">
        <v>101</v>
      </c>
      <c r="F184" s="12"/>
      <c r="G184" s="10"/>
      <c r="H184" s="12"/>
      <c r="I184" s="89" t="s">
        <v>101</v>
      </c>
      <c r="J184" s="12"/>
      <c r="K184" s="10"/>
      <c r="L184" s="12" t="s">
        <v>102</v>
      </c>
      <c r="M184" s="10"/>
      <c r="N184" s="12"/>
      <c r="O184" s="11"/>
      <c r="P184" s="12" t="s">
        <v>102</v>
      </c>
    </row>
    <row r="185" spans="2:16" ht="15">
      <c r="B185" s="10">
        <v>3</v>
      </c>
      <c r="C185" s="10"/>
      <c r="D185" s="12" t="s">
        <v>102</v>
      </c>
      <c r="E185" s="10"/>
      <c r="F185" s="12"/>
      <c r="G185" s="10" t="s">
        <v>101</v>
      </c>
      <c r="H185" s="12"/>
      <c r="I185" s="10"/>
      <c r="J185" s="12" t="s">
        <v>102</v>
      </c>
      <c r="K185" s="10"/>
      <c r="L185" s="12"/>
      <c r="M185" s="89" t="s">
        <v>101</v>
      </c>
      <c r="N185" s="12"/>
      <c r="O185" s="11"/>
      <c r="P185" s="12"/>
    </row>
    <row r="186" spans="2:16" ht="15">
      <c r="B186" s="91">
        <v>4</v>
      </c>
      <c r="C186" s="92"/>
      <c r="D186" s="93"/>
      <c r="E186" s="92"/>
      <c r="F186" s="93" t="s">
        <v>139</v>
      </c>
      <c r="G186" s="91"/>
      <c r="H186" s="93" t="s">
        <v>102</v>
      </c>
      <c r="I186" s="92"/>
      <c r="J186" s="94"/>
      <c r="K186" s="92" t="s">
        <v>101</v>
      </c>
      <c r="L186" s="94"/>
      <c r="M186" s="92"/>
      <c r="N186" s="94"/>
      <c r="O186" s="95" t="s">
        <v>101</v>
      </c>
      <c r="P186" s="93"/>
    </row>
    <row r="189" spans="1:2" ht="15">
      <c r="A189" s="5">
        <v>5.1</v>
      </c>
      <c r="B189" s="5" t="s">
        <v>103</v>
      </c>
    </row>
    <row r="191" spans="2:3" ht="15">
      <c r="B191" s="5" t="s">
        <v>104</v>
      </c>
      <c r="C191" s="42">
        <f>C163*C169*1.7</f>
        <v>177.45205479452054</v>
      </c>
    </row>
    <row r="192" ht="15">
      <c r="C192" s="42"/>
    </row>
    <row r="193" spans="2:3" ht="15">
      <c r="B193" s="5" t="s">
        <v>105</v>
      </c>
      <c r="C193" s="42">
        <f>C191*1.04</f>
        <v>184.55013698630137</v>
      </c>
    </row>
    <row r="197" ht="15">
      <c r="A197" s="4" t="s">
        <v>106</v>
      </c>
    </row>
    <row r="200" spans="2:3" ht="15">
      <c r="B200" s="4" t="s">
        <v>107</v>
      </c>
      <c r="C200" s="83">
        <f>((254*8)+(8*7))/1.04</f>
        <v>2007.6923076923076</v>
      </c>
    </row>
    <row r="202" spans="2:4" ht="12.75" customHeight="1">
      <c r="B202" s="4" t="s">
        <v>108</v>
      </c>
      <c r="C202" s="85">
        <f>F130/C200</f>
        <v>114.49924546963749</v>
      </c>
      <c r="D202" s="4">
        <v>115</v>
      </c>
    </row>
    <row r="203" ht="12.75" customHeight="1"/>
    <row r="204" spans="2:4" ht="15">
      <c r="B204" s="4" t="s">
        <v>109</v>
      </c>
      <c r="C204" s="84">
        <f>F132/C200</f>
        <v>10.994386341685535</v>
      </c>
      <c r="D204" s="84">
        <v>11</v>
      </c>
    </row>
    <row r="205" spans="3:4" ht="15">
      <c r="C205" s="84"/>
      <c r="D205" s="84"/>
    </row>
    <row r="206" spans="2:4" ht="15">
      <c r="B206" s="4" t="s">
        <v>110</v>
      </c>
      <c r="C206" s="84">
        <f>F134/C200</f>
        <v>11.41005249398535</v>
      </c>
      <c r="D206" s="84">
        <v>12</v>
      </c>
    </row>
    <row r="209" spans="1:2" ht="15">
      <c r="A209" s="4" t="s">
        <v>111</v>
      </c>
      <c r="B209" s="4">
        <f>8*4</f>
        <v>32</v>
      </c>
    </row>
    <row r="210" ht="15">
      <c r="B210" s="4" t="s">
        <v>112</v>
      </c>
    </row>
    <row r="212" spans="1:3" ht="15">
      <c r="A212" s="4" t="s">
        <v>113</v>
      </c>
      <c r="B212" s="4">
        <f>CEILING((D202+D204+D206)*0.25,1)</f>
        <v>35</v>
      </c>
      <c r="C212" s="4">
        <v>35</v>
      </c>
    </row>
    <row r="213" ht="15">
      <c r="A213" s="4" t="s">
        <v>114</v>
      </c>
    </row>
    <row r="215" spans="3:4" ht="15">
      <c r="C215" s="4">
        <f>CEILING((D202/15),1)</f>
        <v>8</v>
      </c>
      <c r="D215" s="4">
        <v>1</v>
      </c>
    </row>
    <row r="216" ht="15">
      <c r="C216" s="4">
        <v>1</v>
      </c>
    </row>
    <row r="217" ht="15">
      <c r="C217" s="4">
        <v>1</v>
      </c>
    </row>
    <row r="220" ht="15">
      <c r="A220" s="4" t="s">
        <v>115</v>
      </c>
    </row>
    <row r="222" spans="2:3" ht="15">
      <c r="B222" s="2" t="s">
        <v>116</v>
      </c>
      <c r="C222" s="2">
        <v>13</v>
      </c>
    </row>
    <row r="223" spans="2:3" ht="15">
      <c r="B223" s="2" t="s">
        <v>117</v>
      </c>
      <c r="C223" s="86">
        <f>C163*C165</f>
        <v>93</v>
      </c>
    </row>
    <row r="224" spans="2:3" ht="15">
      <c r="B224" s="2" t="s">
        <v>118</v>
      </c>
      <c r="C224" s="84">
        <f>CEILING(C223/C222,1)</f>
        <v>8</v>
      </c>
    </row>
    <row r="226" ht="15">
      <c r="B226" s="2" t="s">
        <v>119</v>
      </c>
    </row>
    <row r="230" ht="15">
      <c r="B230" s="2" t="s">
        <v>120</v>
      </c>
    </row>
    <row r="232" spans="1:4" ht="15">
      <c r="A232" s="2" t="s">
        <v>121</v>
      </c>
      <c r="B232" s="2">
        <f>(C223*0.02*120)/480</f>
        <v>0.465</v>
      </c>
      <c r="D232" s="2" t="s">
        <v>122</v>
      </c>
    </row>
    <row r="233" spans="1:6" ht="15">
      <c r="A233" s="3" t="s">
        <v>123</v>
      </c>
      <c r="B233" s="2">
        <v>6</v>
      </c>
      <c r="C233" s="3" t="s">
        <v>124</v>
      </c>
      <c r="D233" s="2">
        <v>2</v>
      </c>
      <c r="E233" s="3" t="s">
        <v>125</v>
      </c>
      <c r="F233" s="2">
        <v>1</v>
      </c>
    </row>
    <row r="234" spans="2:3" ht="15">
      <c r="B234" s="2" t="s">
        <v>126</v>
      </c>
      <c r="C234" s="2">
        <f>(2*C236)+(2*C237)+(2*C238)+(C241*C240)+((C241-1)*C242)</f>
        <v>83.48</v>
      </c>
    </row>
    <row r="236" spans="2:3" ht="15">
      <c r="B236" s="2" t="s">
        <v>127</v>
      </c>
      <c r="C236" s="2">
        <v>2</v>
      </c>
    </row>
    <row r="237" spans="2:3" ht="15">
      <c r="B237" s="2" t="s">
        <v>128</v>
      </c>
      <c r="C237" s="2">
        <v>1.25</v>
      </c>
    </row>
    <row r="238" spans="2:3" ht="15">
      <c r="B238" s="2" t="s">
        <v>129</v>
      </c>
      <c r="C238" s="2">
        <v>0.5</v>
      </c>
    </row>
    <row r="240" spans="2:3" ht="15">
      <c r="B240" s="2" t="s">
        <v>130</v>
      </c>
      <c r="C240" s="2">
        <v>11.83</v>
      </c>
    </row>
    <row r="241" spans="2:3" ht="15">
      <c r="B241" s="2" t="s">
        <v>131</v>
      </c>
      <c r="C241" s="2">
        <v>6</v>
      </c>
    </row>
    <row r="242" spans="2:3" ht="15">
      <c r="B242" s="2" t="s">
        <v>132</v>
      </c>
      <c r="C242" s="2">
        <v>1</v>
      </c>
    </row>
    <row r="245" spans="2:3" ht="15">
      <c r="B245" s="2" t="s">
        <v>133</v>
      </c>
      <c r="C245" s="2">
        <f>(2*C236)+(6*C237)+(6*C238)+(C240*C241)+((C241-3)*C242)+(2*C246)</f>
        <v>96.48</v>
      </c>
    </row>
    <row r="246" spans="2:3" ht="15">
      <c r="B246" s="2" t="s">
        <v>134</v>
      </c>
      <c r="C246" s="2">
        <v>4</v>
      </c>
    </row>
    <row r="248" spans="1:2" ht="15">
      <c r="A248" s="96">
        <v>6.2</v>
      </c>
      <c r="B248" s="97" t="s">
        <v>135</v>
      </c>
    </row>
    <row r="250" spans="1:2" ht="15">
      <c r="A250" s="97" t="s">
        <v>136</v>
      </c>
      <c r="B250" s="2">
        <f>CEILING((B251*C156)/254,1)</f>
        <v>2</v>
      </c>
    </row>
    <row r="251" spans="1:2" ht="15">
      <c r="A251" s="97" t="s">
        <v>137</v>
      </c>
      <c r="B251" s="2">
        <v>3</v>
      </c>
    </row>
    <row r="252" spans="1:2" ht="15">
      <c r="A252" s="97" t="s">
        <v>138</v>
      </c>
      <c r="B252" s="2">
        <f>CEILING(((8-B251)*C156)/254,1)</f>
        <v>3</v>
      </c>
    </row>
    <row r="256" ht="15">
      <c r="A256">
        <v>6.3</v>
      </c>
    </row>
    <row r="257" spans="1:8" ht="12.75" customHeight="1">
      <c r="A257" t="s">
        <v>112</v>
      </c>
      <c r="B257" t="s">
        <v>143</v>
      </c>
      <c r="C257" t="s">
        <v>140</v>
      </c>
      <c r="E257" t="s">
        <v>141</v>
      </c>
      <c r="F257" t="s">
        <v>142</v>
      </c>
      <c r="G257" t="s">
        <v>145</v>
      </c>
      <c r="H257" t="s">
        <v>144</v>
      </c>
    </row>
    <row r="258" spans="1:7" ht="15">
      <c r="A258" t="s">
        <v>146</v>
      </c>
      <c r="D258">
        <v>20</v>
      </c>
      <c r="E258">
        <v>25</v>
      </c>
      <c r="F258">
        <v>10</v>
      </c>
      <c r="G258">
        <f>E258+(F258*(D258-1))</f>
        <v>215</v>
      </c>
    </row>
    <row r="259" spans="1:7" ht="15">
      <c r="A259" t="s">
        <v>147</v>
      </c>
      <c r="D259">
        <v>20</v>
      </c>
      <c r="E259">
        <v>20</v>
      </c>
      <c r="F259">
        <v>10</v>
      </c>
      <c r="G259" s="1">
        <f aca="true" t="shared" si="59" ref="G259:G267">E259+(F259*(D259-1))</f>
        <v>210</v>
      </c>
    </row>
    <row r="260" spans="1:7" ht="15">
      <c r="A260" t="s">
        <v>148</v>
      </c>
      <c r="D260">
        <v>10</v>
      </c>
      <c r="E260">
        <v>30</v>
      </c>
      <c r="F260">
        <v>15</v>
      </c>
      <c r="G260" s="1">
        <f t="shared" si="59"/>
        <v>165</v>
      </c>
    </row>
    <row r="261" spans="1:7" ht="15">
      <c r="A261" t="s">
        <v>149</v>
      </c>
      <c r="D261">
        <v>11</v>
      </c>
      <c r="E261">
        <v>15</v>
      </c>
      <c r="F261">
        <v>10</v>
      </c>
      <c r="G261" s="1">
        <f t="shared" si="59"/>
        <v>115</v>
      </c>
    </row>
    <row r="262" spans="1:7" ht="15">
      <c r="A262" t="s">
        <v>150</v>
      </c>
      <c r="D262">
        <v>10</v>
      </c>
      <c r="E262">
        <v>20</v>
      </c>
      <c r="F262">
        <v>10</v>
      </c>
      <c r="G262" s="1">
        <f t="shared" si="59"/>
        <v>110</v>
      </c>
    </row>
    <row r="263" spans="1:7" ht="15">
      <c r="A263" t="s">
        <v>151</v>
      </c>
      <c r="D263">
        <v>8</v>
      </c>
      <c r="E263">
        <v>20</v>
      </c>
      <c r="F263">
        <v>10</v>
      </c>
      <c r="G263" s="1">
        <f t="shared" si="59"/>
        <v>90</v>
      </c>
    </row>
    <row r="264" spans="1:7" ht="15">
      <c r="A264" t="s">
        <v>152</v>
      </c>
      <c r="D264">
        <v>62</v>
      </c>
      <c r="E264">
        <v>20</v>
      </c>
      <c r="F264">
        <v>8</v>
      </c>
      <c r="G264" s="1">
        <f t="shared" si="59"/>
        <v>508</v>
      </c>
    </row>
    <row r="265" spans="1:7" ht="15">
      <c r="A265" t="s">
        <v>153</v>
      </c>
      <c r="D265">
        <v>3</v>
      </c>
      <c r="E265">
        <v>25</v>
      </c>
      <c r="F265">
        <v>10</v>
      </c>
      <c r="G265" s="1">
        <f t="shared" si="59"/>
        <v>45</v>
      </c>
    </row>
    <row r="266" spans="1:7" ht="15">
      <c r="A266" t="s">
        <v>154</v>
      </c>
      <c r="D266">
        <v>9</v>
      </c>
      <c r="E266">
        <v>25</v>
      </c>
      <c r="F266">
        <v>12</v>
      </c>
      <c r="G266" s="1">
        <f t="shared" si="59"/>
        <v>121</v>
      </c>
    </row>
    <row r="267" spans="1:7" ht="15">
      <c r="A267" t="s">
        <v>155</v>
      </c>
      <c r="D267">
        <v>10</v>
      </c>
      <c r="E267">
        <v>25</v>
      </c>
      <c r="F267">
        <v>10</v>
      </c>
      <c r="G267" s="1">
        <f t="shared" si="59"/>
        <v>115</v>
      </c>
    </row>
    <row r="269" ht="15">
      <c r="A269" t="s">
        <v>156</v>
      </c>
    </row>
    <row r="272" spans="1:2" ht="15">
      <c r="A272" t="s">
        <v>157</v>
      </c>
      <c r="B272">
        <f>C163*0.06</f>
        <v>6.678000000000001</v>
      </c>
    </row>
    <row r="273" spans="1:4" ht="12.75" customHeight="1">
      <c r="A273" t="s">
        <v>158</v>
      </c>
      <c r="B273">
        <f>B272/5</f>
        <v>1.3356000000000001</v>
      </c>
      <c r="C273" s="99" t="s">
        <v>159</v>
      </c>
      <c r="D273" s="98">
        <v>3</v>
      </c>
    </row>
    <row r="274" spans="1:2" ht="15">
      <c r="A274" t="s">
        <v>160</v>
      </c>
      <c r="B274">
        <f>D273*13</f>
        <v>39</v>
      </c>
    </row>
    <row r="275" spans="1:2" ht="15">
      <c r="A275" t="s">
        <v>161</v>
      </c>
      <c r="B275">
        <f>C163*2.5</f>
        <v>278.25</v>
      </c>
    </row>
    <row r="276" spans="1:4" ht="12.75" customHeight="1">
      <c r="A276" t="s">
        <v>162</v>
      </c>
      <c r="B276">
        <f>B275/250</f>
        <v>1.113</v>
      </c>
      <c r="C276" s="99" t="s">
        <v>159</v>
      </c>
      <c r="D276" s="98">
        <v>3</v>
      </c>
    </row>
    <row r="277" spans="1:2" ht="15">
      <c r="A277" t="s">
        <v>163</v>
      </c>
      <c r="B277">
        <f>D276*36</f>
        <v>108</v>
      </c>
    </row>
    <row r="278" spans="1:2" ht="15">
      <c r="A278" t="s">
        <v>164</v>
      </c>
      <c r="B278">
        <f>C163*0.2</f>
        <v>22.260000000000005</v>
      </c>
    </row>
    <row r="279" spans="1:2" ht="15">
      <c r="A279" t="s">
        <v>165</v>
      </c>
      <c r="B279">
        <f>C163</f>
        <v>111.30000000000001</v>
      </c>
    </row>
    <row r="280" spans="1:2" ht="15">
      <c r="A280" t="s">
        <v>166</v>
      </c>
      <c r="B280">
        <f>3*45+50</f>
        <v>185</v>
      </c>
    </row>
    <row r="281" spans="1:2" ht="15">
      <c r="A281" t="s">
        <v>167</v>
      </c>
      <c r="B281">
        <f>C163*0.5</f>
        <v>55.650000000000006</v>
      </c>
    </row>
    <row r="282" spans="1:2" ht="15">
      <c r="A282" t="s">
        <v>168</v>
      </c>
      <c r="B282" s="100">
        <f>O88*C163*6</f>
        <v>35016984.44502092</v>
      </c>
    </row>
    <row r="283" spans="1:3" ht="15">
      <c r="A283" t="s">
        <v>169</v>
      </c>
      <c r="B283" s="102">
        <f>B282/(12*93000)</f>
        <v>31.37722620521588</v>
      </c>
      <c r="C283" s="98">
        <v>32</v>
      </c>
    </row>
    <row r="284" spans="1:2" ht="15">
      <c r="A284" t="s">
        <v>170</v>
      </c>
      <c r="B284">
        <f>C283*2</f>
        <v>64</v>
      </c>
    </row>
    <row r="285" spans="1:3" ht="15">
      <c r="A285" t="s">
        <v>171</v>
      </c>
      <c r="B285">
        <f>B284/20</f>
        <v>3.2</v>
      </c>
      <c r="C285" s="98">
        <v>4</v>
      </c>
    </row>
    <row r="286" spans="1:2" ht="15">
      <c r="A286" t="s">
        <v>173</v>
      </c>
      <c r="B286" s="101">
        <f>B284/15</f>
        <v>4.266666666666667</v>
      </c>
    </row>
    <row r="287" spans="1:2" ht="15">
      <c r="A287" t="s">
        <v>172</v>
      </c>
      <c r="B287">
        <f>C285*3+5</f>
        <v>17</v>
      </c>
    </row>
    <row r="289" ht="15">
      <c r="A289">
        <v>8</v>
      </c>
    </row>
    <row r="290" spans="1:2" ht="15">
      <c r="A290" t="s">
        <v>174</v>
      </c>
      <c r="B290">
        <v>18</v>
      </c>
    </row>
    <row r="291" spans="1:2" ht="15">
      <c r="A291" t="s">
        <v>175</v>
      </c>
      <c r="B291">
        <f>B290</f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Android phone</dc:creator>
  <cp:keywords/>
  <dc:description/>
  <cp:lastModifiedBy>Андрей</cp:lastModifiedBy>
  <dcterms:created xsi:type="dcterms:W3CDTF">2012-11-19T19:22:03Z</dcterms:created>
  <dcterms:modified xsi:type="dcterms:W3CDTF">2012-11-19T19:22:04Z</dcterms:modified>
  <cp:category/>
  <cp:version/>
  <cp:contentType/>
  <cp:contentStatus/>
</cp:coreProperties>
</file>