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<sst xmlns="http://schemas.openxmlformats.org/spreadsheetml/2006/main" count="496" uniqueCount="258">
  <si>
    <t>будни</t>
  </si>
  <si>
    <t>выходные</t>
  </si>
  <si>
    <t>Si, км</t>
  </si>
  <si>
    <t>Vi, км/ч</t>
  </si>
  <si>
    <t>ti,мин</t>
  </si>
  <si>
    <t>6:00-9:00</t>
  </si>
  <si>
    <t>9:00-15:00</t>
  </si>
  <si>
    <t>19:00-22:00</t>
  </si>
  <si>
    <t>после 22:00</t>
  </si>
  <si>
    <t>ni,ед</t>
  </si>
  <si>
    <t>-</t>
  </si>
  <si>
    <t>15:00-19:00</t>
  </si>
  <si>
    <t>Ti чпу, маш ч</t>
  </si>
  <si>
    <t>n мпу,ед</t>
  </si>
  <si>
    <t>n чпу,ед</t>
  </si>
  <si>
    <t>Ti мпу, маш ч</t>
  </si>
  <si>
    <t>n мпв,ед</t>
  </si>
  <si>
    <t>Ti мпв, маш ч</t>
  </si>
  <si>
    <t>n чпв,ед</t>
  </si>
  <si>
    <t>Ti чпв, маш ч</t>
  </si>
  <si>
    <t>ni дг,ед</t>
  </si>
  <si>
    <t>Ti дг, маш ч</t>
  </si>
  <si>
    <t>суммы</t>
  </si>
  <si>
    <t>t сср</t>
  </si>
  <si>
    <t>Тр</t>
  </si>
  <si>
    <t>Тв</t>
  </si>
  <si>
    <t>n р чп</t>
  </si>
  <si>
    <t>n в чп</t>
  </si>
  <si>
    <t>t ссв</t>
  </si>
  <si>
    <t>Др</t>
  </si>
  <si>
    <t>Дв</t>
  </si>
  <si>
    <t>t cc</t>
  </si>
  <si>
    <t>То</t>
  </si>
  <si>
    <t>Тсг</t>
  </si>
  <si>
    <t>ni</t>
  </si>
  <si>
    <t>αв</t>
  </si>
  <si>
    <t>Li чпу ,маш км</t>
  </si>
  <si>
    <t>Li мпу ,маш км</t>
  </si>
  <si>
    <t>Li чпв ,маш км</t>
  </si>
  <si>
    <t>Li мпв ,маш км</t>
  </si>
  <si>
    <t>Li дг,маш км</t>
  </si>
  <si>
    <t>Lсср</t>
  </si>
  <si>
    <t>Lp</t>
  </si>
  <si>
    <t>Lв</t>
  </si>
  <si>
    <t>Lссв</t>
  </si>
  <si>
    <t>Lcc</t>
  </si>
  <si>
    <t>Lo</t>
  </si>
  <si>
    <t>Lсг</t>
  </si>
  <si>
    <t>Lсп</t>
  </si>
  <si>
    <t>Lкр</t>
  </si>
  <si>
    <t>k1</t>
  </si>
  <si>
    <t>k2</t>
  </si>
  <si>
    <t>k3</t>
  </si>
  <si>
    <t>k4</t>
  </si>
  <si>
    <t>k5</t>
  </si>
  <si>
    <t>Пробег , тыс. км</t>
  </si>
  <si>
    <t>Вид ремонта</t>
  </si>
  <si>
    <t>Корректирующие коэффициенты</t>
  </si>
  <si>
    <t>Q, чел*ч</t>
  </si>
  <si>
    <t>Qб, чел*ч</t>
  </si>
  <si>
    <t>ТО-1</t>
  </si>
  <si>
    <t>ТО-2</t>
  </si>
  <si>
    <t>ТО-2+СО(л)</t>
  </si>
  <si>
    <t>ТР</t>
  </si>
  <si>
    <t>ТО-2+СО(З)</t>
  </si>
  <si>
    <t>Вид ремонта и обслуживания</t>
  </si>
  <si>
    <t>Кол-во ремонтов обс-й за плановый период</t>
  </si>
  <si>
    <t>Трудоёмкость ремонтов и обс-й, чел*ч</t>
  </si>
  <si>
    <t>одного трол-са</t>
  </si>
  <si>
    <t>всего парка</t>
  </si>
  <si>
    <t>nи</t>
  </si>
  <si>
    <t>Норматив прод-ти ремонта, раб. дней</t>
  </si>
  <si>
    <t>Время, затрачиваемое на ремонт, ч</t>
  </si>
  <si>
    <t>Время нахождения в ремонте или обс-и, ч</t>
  </si>
  <si>
    <t>Время, которое ПС не работает на маршруте по причине р. или о., ч</t>
  </si>
  <si>
    <t>2 ч</t>
  </si>
  <si>
    <t>сумма Р</t>
  </si>
  <si>
    <t>nф(то-2)</t>
  </si>
  <si>
    <t>nф(то-1)</t>
  </si>
  <si>
    <t>nф(тр)</t>
  </si>
  <si>
    <t>min</t>
  </si>
  <si>
    <t>max</t>
  </si>
  <si>
    <t>Дmin</t>
  </si>
  <si>
    <t>Дmax</t>
  </si>
  <si>
    <t>nф</t>
  </si>
  <si>
    <t>kз</t>
  </si>
  <si>
    <t>Фронт ремонта или обс-я i-го вида, ед.</t>
  </si>
  <si>
    <t>Число дней с макс. или мин. фронтом ремонта i-го вида, дней</t>
  </si>
  <si>
    <r>
      <t>τi дг,мин</t>
    </r>
  </si>
  <si>
    <t>Окончание работы</t>
  </si>
  <si>
    <t>п 1.3.2 Ср.годовой пок-ль</t>
  </si>
  <si>
    <t>п 2.1 Прогр. Р. И О.</t>
  </si>
  <si>
    <t>п 2.3Инвертарный парк депо</t>
  </si>
  <si>
    <t>п 2.2 Время нах-я машин в р и о</t>
  </si>
  <si>
    <t>п 1.3.1 Среднесут. Пок-ль</t>
  </si>
  <si>
    <t>п 1.2.1 Среднегод пок-ль</t>
  </si>
  <si>
    <t>п 1.2 Машино-часы в движении</t>
  </si>
  <si>
    <t>Сделать обрамление</t>
  </si>
  <si>
    <t>времена округлять нельзя</t>
  </si>
  <si>
    <t>Обрамление</t>
  </si>
  <si>
    <t>-будн</t>
  </si>
  <si>
    <t>-вых</t>
  </si>
  <si>
    <t>маш.ч</t>
  </si>
  <si>
    <t>ч</t>
  </si>
  <si>
    <t>ед</t>
  </si>
  <si>
    <r>
      <rPr>
        <sz val="12"/>
        <color indexed="8"/>
        <rFont val="Calibri"/>
        <family val="2"/>
      </rPr>
      <t>α</t>
    </r>
    <r>
      <rPr>
        <sz val="10.2"/>
        <color indexed="8"/>
        <rFont val="Times New Roman"/>
        <family val="1"/>
      </rPr>
      <t>вр</t>
    </r>
  </si>
  <si>
    <t>n ео</t>
  </si>
  <si>
    <r>
      <rPr>
        <sz val="12"/>
        <color indexed="8"/>
        <rFont val="Calibri"/>
        <family val="2"/>
      </rPr>
      <t>α</t>
    </r>
    <r>
      <rPr>
        <sz val="10.2"/>
        <color indexed="8"/>
        <rFont val="Times New Roman"/>
        <family val="1"/>
      </rPr>
      <t xml:space="preserve"> вр г</t>
    </r>
  </si>
  <si>
    <t>T eo</t>
  </si>
  <si>
    <t>T сумм eo</t>
  </si>
  <si>
    <t>t см</t>
  </si>
  <si>
    <t>n сум</t>
  </si>
  <si>
    <t>n</t>
  </si>
  <si>
    <t>n бр</t>
  </si>
  <si>
    <t>Сутки</t>
  </si>
  <si>
    <t>Время смены</t>
  </si>
  <si>
    <t>Бригады</t>
  </si>
  <si>
    <t>ЗР</t>
  </si>
  <si>
    <t>ЕО</t>
  </si>
  <si>
    <t>4 пункт из методы</t>
  </si>
  <si>
    <t>k см</t>
  </si>
  <si>
    <t>Ч в я</t>
  </si>
  <si>
    <t>Дот</t>
  </si>
  <si>
    <t>k н б</t>
  </si>
  <si>
    <t>kн</t>
  </si>
  <si>
    <t>Ч в с</t>
  </si>
  <si>
    <t>Ч н с</t>
  </si>
  <si>
    <t>kп</t>
  </si>
  <si>
    <t>- 1 метод</t>
  </si>
  <si>
    <t>2-й метод</t>
  </si>
  <si>
    <t>Фр</t>
  </si>
  <si>
    <t>Чр.тр</t>
  </si>
  <si>
    <t>Чр.то2</t>
  </si>
  <si>
    <t>Чр.то1</t>
  </si>
  <si>
    <t>Чр.ео</t>
  </si>
  <si>
    <t>Чр.всп</t>
  </si>
  <si>
    <t>kвсп</t>
  </si>
  <si>
    <t>n ео тр</t>
  </si>
  <si>
    <t>nд</t>
  </si>
  <si>
    <t>n eo</t>
  </si>
  <si>
    <t>4 линии по 2 места</t>
  </si>
  <si>
    <t>ρнр</t>
  </si>
  <si>
    <t>tнр</t>
  </si>
  <si>
    <t>tc</t>
  </si>
  <si>
    <t>nнр</t>
  </si>
  <si>
    <t>nф нр</t>
  </si>
  <si>
    <t>Ап</t>
  </si>
  <si>
    <t>Lму</t>
  </si>
  <si>
    <t>Lоэ</t>
  </si>
  <si>
    <t>n тр.м</t>
  </si>
  <si>
    <t>Тм</t>
  </si>
  <si>
    <t>τтр</t>
  </si>
  <si>
    <t>n тр.к</t>
  </si>
  <si>
    <t>Наименование участков и отделений</t>
  </si>
  <si>
    <t>Количество</t>
  </si>
  <si>
    <t>Удельная площадь, м2</t>
  </si>
  <si>
    <t>Общая Fп, м2</t>
  </si>
  <si>
    <t>f1</t>
  </si>
  <si>
    <t>f0</t>
  </si>
  <si>
    <t>агрегатное</t>
  </si>
  <si>
    <t>эл-техн</t>
  </si>
  <si>
    <t>кузнечно-рессорное</t>
  </si>
  <si>
    <t>сварочное</t>
  </si>
  <si>
    <t>столярное</t>
  </si>
  <si>
    <t>обойное</t>
  </si>
  <si>
    <t>слесарно-кузовное</t>
  </si>
  <si>
    <t>аккумуляторное</t>
  </si>
  <si>
    <t>шиномонтажное</t>
  </si>
  <si>
    <t>сумма</t>
  </si>
  <si>
    <t>слес.-мех</t>
  </si>
  <si>
    <t>Vk</t>
  </si>
  <si>
    <t>vk</t>
  </si>
  <si>
    <t>v</t>
  </si>
  <si>
    <t>n комп</t>
  </si>
  <si>
    <t>fk</t>
  </si>
  <si>
    <t>p</t>
  </si>
  <si>
    <t>Pст</t>
  </si>
  <si>
    <t>P</t>
  </si>
  <si>
    <t>n ст</t>
  </si>
  <si>
    <t>прин</t>
  </si>
  <si>
    <t>fт</t>
  </si>
  <si>
    <t>Fт</t>
  </si>
  <si>
    <t>fм</t>
  </si>
  <si>
    <t>Fм</t>
  </si>
  <si>
    <t>fкл</t>
  </si>
  <si>
    <t>Fкл</t>
  </si>
  <si>
    <t>fавт</t>
  </si>
  <si>
    <t>fмаст</t>
  </si>
  <si>
    <t>n авт</t>
  </si>
  <si>
    <t xml:space="preserve"> Директор Венгура А.Н. посчитал неэкономичным иметь автомобиль с личным водителем</t>
  </si>
  <si>
    <t>Fст</t>
  </si>
  <si>
    <t>fгсм</t>
  </si>
  <si>
    <t>Fгсм</t>
  </si>
  <si>
    <t>Lcr</t>
  </si>
  <si>
    <t>L</t>
  </si>
  <si>
    <t>lп</t>
  </si>
  <si>
    <t>nз</t>
  </si>
  <si>
    <t>nоз</t>
  </si>
  <si>
    <t>nоз п</t>
  </si>
  <si>
    <t>nоз к</t>
  </si>
  <si>
    <t>fп</t>
  </si>
  <si>
    <t>fк</t>
  </si>
  <si>
    <t>Fk</t>
  </si>
  <si>
    <t>Fпрох</t>
  </si>
  <si>
    <t>Fразд</t>
  </si>
  <si>
    <t>А1</t>
  </si>
  <si>
    <t>A2</t>
  </si>
  <si>
    <t>Агв</t>
  </si>
  <si>
    <t>fг</t>
  </si>
  <si>
    <t>Аг</t>
  </si>
  <si>
    <t>Sp м</t>
  </si>
  <si>
    <t>Sp ж</t>
  </si>
  <si>
    <t>fд</t>
  </si>
  <si>
    <t>Sд м</t>
  </si>
  <si>
    <t>Sд ж</t>
  </si>
  <si>
    <t>fy</t>
  </si>
  <si>
    <t>Sу м</t>
  </si>
  <si>
    <t>Sу ж</t>
  </si>
  <si>
    <t>fуб</t>
  </si>
  <si>
    <t>Sуб</t>
  </si>
  <si>
    <t>Sуб ж</t>
  </si>
  <si>
    <t>fи</t>
  </si>
  <si>
    <t>Sи</t>
  </si>
  <si>
    <t>fз</t>
  </si>
  <si>
    <t>Fз</t>
  </si>
  <si>
    <t>начальник депо</t>
  </si>
  <si>
    <t>зам. начальника депо по пр-ву</t>
  </si>
  <si>
    <t>зам. начальника депо по эк-ции</t>
  </si>
  <si>
    <t>старший мастер</t>
  </si>
  <si>
    <t>начальник маршрута</t>
  </si>
  <si>
    <t>ведущий инженер</t>
  </si>
  <si>
    <t>диспетчер</t>
  </si>
  <si>
    <t>начальник участка</t>
  </si>
  <si>
    <t>мастер участка</t>
  </si>
  <si>
    <t>техник 1 категории</t>
  </si>
  <si>
    <t>техник 2 категории</t>
  </si>
  <si>
    <t>старший мастер ОТК</t>
  </si>
  <si>
    <t>ИТОГО:</t>
  </si>
  <si>
    <t>Teo</t>
  </si>
  <si>
    <t>teo</t>
  </si>
  <si>
    <t>дн</t>
  </si>
  <si>
    <t>км</t>
  </si>
  <si>
    <t>маш.км</t>
  </si>
  <si>
    <t>чел*ч</t>
  </si>
  <si>
    <t>бриг</t>
  </si>
  <si>
    <t>чел</t>
  </si>
  <si>
    <t>дней</t>
  </si>
  <si>
    <t>чео</t>
  </si>
  <si>
    <t>L1,м</t>
  </si>
  <si>
    <t>L2,м</t>
  </si>
  <si>
    <t>L3,м</t>
  </si>
  <si>
    <t>Lпс,м</t>
  </si>
  <si>
    <t>Lмт,м</t>
  </si>
  <si>
    <t>Lмк,м</t>
  </si>
  <si>
    <t>м</t>
  </si>
  <si>
    <t>места</t>
  </si>
  <si>
    <t>дня</t>
  </si>
  <si>
    <t>раб.дн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</si>
</sst>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0.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/>
    </xf>
    <xf numFmtId="1" fontId="3" fillId="32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3" fillId="0" borderId="11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8" xfId="0" applyFont="1" applyBorder="1" applyAlignment="1">
      <alignment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1" fontId="3" fillId="0" borderId="28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42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0" fontId="3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4" borderId="0" xfId="0" applyFont="1" applyFill="1" applyAlignment="1">
      <alignment/>
    </xf>
    <xf numFmtId="16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0" fontId="3" fillId="32" borderId="34" xfId="0" applyFont="1" applyFill="1" applyBorder="1" applyAlignment="1">
      <alignment/>
    </xf>
    <xf numFmtId="0" fontId="3" fillId="32" borderId="35" xfId="0" applyFont="1" applyFill="1" applyBorder="1" applyAlignment="1">
      <alignment/>
    </xf>
    <xf numFmtId="1" fontId="3" fillId="32" borderId="10" xfId="0" applyNumberFormat="1" applyFont="1" applyFill="1" applyBorder="1" applyAlignment="1">
      <alignment/>
    </xf>
    <xf numFmtId="0" fontId="3" fillId="32" borderId="35" xfId="0" applyFont="1" applyFill="1" applyBorder="1" applyAlignment="1">
      <alignment/>
    </xf>
    <xf numFmtId="1" fontId="3" fillId="0" borderId="3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20" fontId="3" fillId="0" borderId="38" xfId="0" applyNumberFormat="1" applyFont="1" applyBorder="1" applyAlignment="1">
      <alignment horizontal="center" vertical="center"/>
    </xf>
    <xf numFmtId="20" fontId="3" fillId="0" borderId="3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0" fontId="3" fillId="0" borderId="40" xfId="0" applyNumberFormat="1" applyFont="1" applyBorder="1" applyAlignment="1">
      <alignment horizontal="center" vertical="center"/>
    </xf>
    <xf numFmtId="20" fontId="3" fillId="0" borderId="41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32" borderId="12" xfId="0" applyNumberFormat="1" applyFont="1" applyFill="1" applyBorder="1" applyAlignment="1">
      <alignment horizontal="center" vertical="center"/>
    </xf>
    <xf numFmtId="1" fontId="3" fillId="32" borderId="42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6"/>
  <sheetViews>
    <sheetView tabSelected="1" zoomScale="85" zoomScaleNormal="85" zoomScalePageLayoutView="0" workbookViewId="0" topLeftCell="C199">
      <selection activeCell="L228" sqref="L228"/>
    </sheetView>
  </sheetViews>
  <sheetFormatPr defaultColWidth="9.00390625" defaultRowHeight="15"/>
  <cols>
    <col min="1" max="1" width="10.421875" style="1" customWidth="1"/>
    <col min="2" max="2" width="21.00390625" style="1" customWidth="1"/>
    <col min="3" max="3" width="11.421875" style="1" customWidth="1"/>
    <col min="4" max="4" width="12.57421875" style="1" customWidth="1"/>
    <col min="5" max="5" width="10.57421875" style="1" customWidth="1"/>
    <col min="6" max="6" width="13.28125" style="1" customWidth="1"/>
    <col min="7" max="7" width="13.140625" style="1" customWidth="1"/>
    <col min="8" max="8" width="13.421875" style="1" customWidth="1"/>
    <col min="9" max="10" width="9.00390625" style="1" customWidth="1"/>
    <col min="11" max="11" width="11.57421875" style="1" customWidth="1"/>
    <col min="12" max="12" width="9.00390625" style="1" customWidth="1"/>
    <col min="13" max="13" width="10.00390625" style="1" bestFit="1" customWidth="1"/>
    <col min="14" max="16384" width="9.00390625" style="1" customWidth="1"/>
  </cols>
  <sheetData>
    <row r="1" spans="1:15" ht="15.75">
      <c r="A1" s="98" t="s">
        <v>89</v>
      </c>
      <c r="B1" s="98"/>
      <c r="C1" s="98" t="s">
        <v>2</v>
      </c>
      <c r="D1" s="98" t="s">
        <v>3</v>
      </c>
      <c r="E1" s="98" t="s">
        <v>4</v>
      </c>
      <c r="F1" s="94" t="s">
        <v>5</v>
      </c>
      <c r="G1" s="94"/>
      <c r="H1" s="94" t="s">
        <v>6</v>
      </c>
      <c r="I1" s="94"/>
      <c r="J1" s="94" t="s">
        <v>11</v>
      </c>
      <c r="K1" s="94"/>
      <c r="L1" s="94" t="s">
        <v>7</v>
      </c>
      <c r="M1" s="94"/>
      <c r="N1" s="94" t="s">
        <v>8</v>
      </c>
      <c r="O1" s="94"/>
    </row>
    <row r="2" spans="1:15" ht="16.5" thickBot="1">
      <c r="A2" s="30" t="s">
        <v>0</v>
      </c>
      <c r="B2" s="30" t="s">
        <v>1</v>
      </c>
      <c r="C2" s="99"/>
      <c r="D2" s="99"/>
      <c r="E2" s="99"/>
      <c r="F2" s="30" t="s">
        <v>4</v>
      </c>
      <c r="G2" s="30" t="s">
        <v>9</v>
      </c>
      <c r="H2" s="30" t="s">
        <v>4</v>
      </c>
      <c r="I2" s="30" t="s">
        <v>9</v>
      </c>
      <c r="J2" s="30" t="s">
        <v>4</v>
      </c>
      <c r="K2" s="30" t="s">
        <v>9</v>
      </c>
      <c r="L2" s="30" t="s">
        <v>4</v>
      </c>
      <c r="M2" s="30" t="s">
        <v>9</v>
      </c>
      <c r="N2" s="30" t="s">
        <v>4</v>
      </c>
      <c r="O2" s="30" t="s">
        <v>9</v>
      </c>
    </row>
    <row r="3" spans="1:16" ht="15.75">
      <c r="A3" s="103">
        <v>0.7937500000000001</v>
      </c>
      <c r="B3" s="107" t="s">
        <v>10</v>
      </c>
      <c r="C3" s="105">
        <v>24.8</v>
      </c>
      <c r="D3" s="109">
        <f>C3*60/E3</f>
        <v>18.835443037974684</v>
      </c>
      <c r="E3" s="107">
        <v>79</v>
      </c>
      <c r="F3" s="31">
        <v>20</v>
      </c>
      <c r="G3" s="32">
        <f>E3/F3</f>
        <v>3.95</v>
      </c>
      <c r="H3" s="31" t="s">
        <v>10</v>
      </c>
      <c r="I3" s="32" t="s">
        <v>10</v>
      </c>
      <c r="J3" s="31">
        <v>26</v>
      </c>
      <c r="K3" s="32">
        <f>E3/J3</f>
        <v>3.0384615384615383</v>
      </c>
      <c r="L3" s="31" t="s">
        <v>10</v>
      </c>
      <c r="M3" s="32" t="s">
        <v>10</v>
      </c>
      <c r="N3" s="31" t="s">
        <v>10</v>
      </c>
      <c r="O3" s="33" t="s">
        <v>10</v>
      </c>
      <c r="P3" s="51" t="s">
        <v>100</v>
      </c>
    </row>
    <row r="4" spans="1:16" ht="16.5" thickBot="1">
      <c r="A4" s="104"/>
      <c r="B4" s="102"/>
      <c r="C4" s="106"/>
      <c r="D4" s="110"/>
      <c r="E4" s="102"/>
      <c r="F4" s="34" t="s">
        <v>10</v>
      </c>
      <c r="G4" s="35" t="s">
        <v>10</v>
      </c>
      <c r="H4" s="34" t="s">
        <v>10</v>
      </c>
      <c r="I4" s="35" t="s">
        <v>10</v>
      </c>
      <c r="J4" s="34" t="s">
        <v>10</v>
      </c>
      <c r="K4" s="35" t="s">
        <v>10</v>
      </c>
      <c r="L4" s="34" t="s">
        <v>10</v>
      </c>
      <c r="M4" s="35" t="s">
        <v>10</v>
      </c>
      <c r="N4" s="34" t="s">
        <v>10</v>
      </c>
      <c r="O4" s="36" t="s">
        <v>10</v>
      </c>
      <c r="P4" s="51" t="s">
        <v>101</v>
      </c>
    </row>
    <row r="5" spans="1:16" ht="15.75">
      <c r="A5" s="103">
        <v>0.07361111111111111</v>
      </c>
      <c r="B5" s="100">
        <v>0.07430555555555556</v>
      </c>
      <c r="C5" s="105">
        <v>31.4</v>
      </c>
      <c r="D5" s="109">
        <f>C5*60/E5</f>
        <v>17.28440366972477</v>
      </c>
      <c r="E5" s="107">
        <v>109</v>
      </c>
      <c r="F5" s="31">
        <v>4</v>
      </c>
      <c r="G5" s="32">
        <f>E5/F5</f>
        <v>27.25</v>
      </c>
      <c r="H5" s="31">
        <v>6</v>
      </c>
      <c r="I5" s="32">
        <f>E5/H5</f>
        <v>18.166666666666668</v>
      </c>
      <c r="J5" s="31">
        <v>4</v>
      </c>
      <c r="K5" s="32">
        <f>E5/J5</f>
        <v>27.25</v>
      </c>
      <c r="L5" s="31">
        <v>16</v>
      </c>
      <c r="M5" s="32">
        <f>E5/L5</f>
        <v>6.8125</v>
      </c>
      <c r="N5" s="31">
        <v>27</v>
      </c>
      <c r="O5" s="33">
        <f>E5/N5</f>
        <v>4.037037037037037</v>
      </c>
      <c r="P5" s="51" t="s">
        <v>100</v>
      </c>
    </row>
    <row r="6" spans="1:16" ht="16.5" thickBot="1">
      <c r="A6" s="104"/>
      <c r="B6" s="101"/>
      <c r="C6" s="106"/>
      <c r="D6" s="110"/>
      <c r="E6" s="102"/>
      <c r="F6" s="34">
        <v>5</v>
      </c>
      <c r="G6" s="35">
        <f>E5/F6</f>
        <v>21.8</v>
      </c>
      <c r="H6" s="34">
        <v>5</v>
      </c>
      <c r="I6" s="35">
        <f>E5/H6</f>
        <v>21.8</v>
      </c>
      <c r="J6" s="34">
        <v>5</v>
      </c>
      <c r="K6" s="35">
        <f>E5/J6</f>
        <v>21.8</v>
      </c>
      <c r="L6" s="34">
        <v>10</v>
      </c>
      <c r="M6" s="35">
        <f>E5/L6</f>
        <v>10.9</v>
      </c>
      <c r="N6" s="34">
        <v>27</v>
      </c>
      <c r="O6" s="36">
        <f>E5/N6</f>
        <v>4.037037037037037</v>
      </c>
      <c r="P6" s="51" t="s">
        <v>101</v>
      </c>
    </row>
    <row r="7" spans="1:16" ht="15.75">
      <c r="A7" s="103">
        <v>0.024305555555555556</v>
      </c>
      <c r="B7" s="100">
        <v>0.024305555555555556</v>
      </c>
      <c r="C7" s="105">
        <v>21.7</v>
      </c>
      <c r="D7" s="109">
        <f>C7*60/E7</f>
        <v>19.432835820895523</v>
      </c>
      <c r="E7" s="107">
        <v>67</v>
      </c>
      <c r="F7" s="31">
        <v>5</v>
      </c>
      <c r="G7" s="32">
        <f aca="true" t="shared" si="0" ref="G7:G19">E7/F7</f>
        <v>13.4</v>
      </c>
      <c r="H7" s="31">
        <v>17</v>
      </c>
      <c r="I7" s="32">
        <f>E7/H7</f>
        <v>3.9411764705882355</v>
      </c>
      <c r="J7" s="31">
        <v>5</v>
      </c>
      <c r="K7" s="32">
        <f>E7/J7</f>
        <v>13.4</v>
      </c>
      <c r="L7" s="31">
        <v>17</v>
      </c>
      <c r="M7" s="32">
        <f>E7/L7</f>
        <v>3.9411764705882355</v>
      </c>
      <c r="N7" s="31">
        <v>17</v>
      </c>
      <c r="O7" s="33">
        <f>E7/N7</f>
        <v>3.9411764705882355</v>
      </c>
      <c r="P7" s="51" t="s">
        <v>100</v>
      </c>
    </row>
    <row r="8" spans="1:16" ht="16.5" thickBot="1">
      <c r="A8" s="104"/>
      <c r="B8" s="101"/>
      <c r="C8" s="106"/>
      <c r="D8" s="110"/>
      <c r="E8" s="102"/>
      <c r="F8" s="34">
        <v>17</v>
      </c>
      <c r="G8" s="35">
        <f>E7/F8</f>
        <v>3.9411764705882355</v>
      </c>
      <c r="H8" s="34">
        <v>17</v>
      </c>
      <c r="I8" s="35">
        <f>E7/H8</f>
        <v>3.9411764705882355</v>
      </c>
      <c r="J8" s="34">
        <v>17</v>
      </c>
      <c r="K8" s="35">
        <f>E7/J8</f>
        <v>3.9411764705882355</v>
      </c>
      <c r="L8" s="34">
        <v>17</v>
      </c>
      <c r="M8" s="35">
        <f>E7/L8</f>
        <v>3.9411764705882355</v>
      </c>
      <c r="N8" s="34">
        <v>17</v>
      </c>
      <c r="O8" s="36">
        <f>E7/N8</f>
        <v>3.9411764705882355</v>
      </c>
      <c r="P8" s="51" t="s">
        <v>101</v>
      </c>
    </row>
    <row r="9" spans="1:16" ht="15.75">
      <c r="A9" s="103">
        <v>0.06319444444444444</v>
      </c>
      <c r="B9" s="100">
        <v>0.0763888888888889</v>
      </c>
      <c r="C9" s="105">
        <v>30.9</v>
      </c>
      <c r="D9" s="109">
        <f>C9*60/E9</f>
        <v>16.4070796460177</v>
      </c>
      <c r="E9" s="107">
        <v>113</v>
      </c>
      <c r="F9" s="31">
        <v>7</v>
      </c>
      <c r="G9" s="32">
        <f t="shared" si="0"/>
        <v>16.142857142857142</v>
      </c>
      <c r="H9" s="31">
        <v>9</v>
      </c>
      <c r="I9" s="32">
        <f>E9/H9</f>
        <v>12.555555555555555</v>
      </c>
      <c r="J9" s="31">
        <v>7</v>
      </c>
      <c r="K9" s="32">
        <f>E9/J9</f>
        <v>16.142857142857142</v>
      </c>
      <c r="L9" s="31">
        <v>28</v>
      </c>
      <c r="M9" s="32">
        <f>E9/L9</f>
        <v>4.035714285714286</v>
      </c>
      <c r="N9" s="31">
        <v>28</v>
      </c>
      <c r="O9" s="33">
        <f>E9/N9</f>
        <v>4.035714285714286</v>
      </c>
      <c r="P9" s="51" t="s">
        <v>100</v>
      </c>
    </row>
    <row r="10" spans="1:16" ht="16.5" thickBot="1">
      <c r="A10" s="104"/>
      <c r="B10" s="102"/>
      <c r="C10" s="106"/>
      <c r="D10" s="110"/>
      <c r="E10" s="102"/>
      <c r="F10" s="34">
        <v>9</v>
      </c>
      <c r="G10" s="35">
        <f>E9/F10</f>
        <v>12.555555555555555</v>
      </c>
      <c r="H10" s="34">
        <v>9</v>
      </c>
      <c r="I10" s="35">
        <f>E9/H10</f>
        <v>12.555555555555555</v>
      </c>
      <c r="J10" s="34">
        <v>9</v>
      </c>
      <c r="K10" s="35">
        <f>E9/J10</f>
        <v>12.555555555555555</v>
      </c>
      <c r="L10" s="34">
        <v>19</v>
      </c>
      <c r="M10" s="35">
        <f>E9/L10</f>
        <v>5.947368421052632</v>
      </c>
      <c r="N10" s="34">
        <v>28</v>
      </c>
      <c r="O10" s="36">
        <f>E9/N10</f>
        <v>4.035714285714286</v>
      </c>
      <c r="P10" s="51" t="s">
        <v>101</v>
      </c>
    </row>
    <row r="11" spans="1:16" ht="15.75">
      <c r="A11" s="103">
        <v>0.06388888888888888</v>
      </c>
      <c r="B11" s="100">
        <v>0.06458333333333334</v>
      </c>
      <c r="C11" s="105">
        <v>33.1</v>
      </c>
      <c r="D11" s="109">
        <f>C11*60/E11</f>
        <v>18.220183486238533</v>
      </c>
      <c r="E11" s="107">
        <v>109</v>
      </c>
      <c r="F11" s="31">
        <v>6</v>
      </c>
      <c r="G11" s="32">
        <f t="shared" si="0"/>
        <v>18.166666666666668</v>
      </c>
      <c r="H11" s="31">
        <v>11</v>
      </c>
      <c r="I11" s="32">
        <f>E11/H11</f>
        <v>9.909090909090908</v>
      </c>
      <c r="J11" s="31">
        <v>6</v>
      </c>
      <c r="K11" s="32">
        <f>E11/J11</f>
        <v>18.166666666666668</v>
      </c>
      <c r="L11" s="31">
        <v>16</v>
      </c>
      <c r="M11" s="32">
        <f>E11/L11</f>
        <v>6.8125</v>
      </c>
      <c r="N11" s="31">
        <v>22</v>
      </c>
      <c r="O11" s="33">
        <f>E11/N11</f>
        <v>4.954545454545454</v>
      </c>
      <c r="P11" s="51" t="s">
        <v>100</v>
      </c>
    </row>
    <row r="12" spans="1:16" ht="16.5" thickBot="1">
      <c r="A12" s="104"/>
      <c r="B12" s="101"/>
      <c r="C12" s="106"/>
      <c r="D12" s="110"/>
      <c r="E12" s="102"/>
      <c r="F12" s="34">
        <v>8</v>
      </c>
      <c r="G12" s="35">
        <f>E11/F12</f>
        <v>13.625</v>
      </c>
      <c r="H12" s="34">
        <v>8</v>
      </c>
      <c r="I12" s="35">
        <f>E11/H12</f>
        <v>13.625</v>
      </c>
      <c r="J12" s="34">
        <v>8</v>
      </c>
      <c r="K12" s="35">
        <f>E11/J12</f>
        <v>13.625</v>
      </c>
      <c r="L12" s="34">
        <v>18</v>
      </c>
      <c r="M12" s="35">
        <f>E11/L12</f>
        <v>6.055555555555555</v>
      </c>
      <c r="N12" s="34">
        <v>22</v>
      </c>
      <c r="O12" s="36">
        <f>E11/N12</f>
        <v>4.954545454545454</v>
      </c>
      <c r="P12" s="51" t="s">
        <v>101</v>
      </c>
    </row>
    <row r="13" spans="1:16" ht="15.75">
      <c r="A13" s="103">
        <v>0.8173611111111111</v>
      </c>
      <c r="B13" s="107" t="s">
        <v>10</v>
      </c>
      <c r="C13" s="105">
        <v>24.3</v>
      </c>
      <c r="D13" s="109">
        <f>C13*60/E13</f>
        <v>18.692307692307693</v>
      </c>
      <c r="E13" s="107">
        <v>78</v>
      </c>
      <c r="F13" s="31">
        <v>20</v>
      </c>
      <c r="G13" s="32">
        <f t="shared" si="0"/>
        <v>3.9</v>
      </c>
      <c r="H13" s="31" t="s">
        <v>10</v>
      </c>
      <c r="I13" s="32" t="s">
        <v>10</v>
      </c>
      <c r="J13" s="31">
        <v>20</v>
      </c>
      <c r="K13" s="32">
        <f>E13/J13</f>
        <v>3.9</v>
      </c>
      <c r="L13" s="31" t="s">
        <v>10</v>
      </c>
      <c r="M13" s="32" t="s">
        <v>10</v>
      </c>
      <c r="N13" s="31" t="s">
        <v>10</v>
      </c>
      <c r="O13" s="33" t="s">
        <v>10</v>
      </c>
      <c r="P13" s="51" t="s">
        <v>100</v>
      </c>
    </row>
    <row r="14" spans="1:16" ht="16.5" thickBot="1">
      <c r="A14" s="114"/>
      <c r="B14" s="102"/>
      <c r="C14" s="106"/>
      <c r="D14" s="110"/>
      <c r="E14" s="102"/>
      <c r="F14" s="34" t="s">
        <v>10</v>
      </c>
      <c r="G14" s="35" t="s">
        <v>10</v>
      </c>
      <c r="H14" s="34" t="s">
        <v>10</v>
      </c>
      <c r="I14" s="35" t="s">
        <v>10</v>
      </c>
      <c r="J14" s="34" t="s">
        <v>10</v>
      </c>
      <c r="K14" s="35" t="s">
        <v>10</v>
      </c>
      <c r="L14" s="34" t="s">
        <v>10</v>
      </c>
      <c r="M14" s="35" t="s">
        <v>10</v>
      </c>
      <c r="N14" s="34" t="s">
        <v>10</v>
      </c>
      <c r="O14" s="36" t="s">
        <v>10</v>
      </c>
      <c r="P14" s="51" t="s">
        <v>101</v>
      </c>
    </row>
    <row r="15" spans="1:16" ht="15.75">
      <c r="A15" s="103">
        <v>0.7881944444444445</v>
      </c>
      <c r="B15" s="107" t="s">
        <v>10</v>
      </c>
      <c r="C15" s="105">
        <v>30.5</v>
      </c>
      <c r="D15" s="109">
        <f>C15*60/E15</f>
        <v>17.941176470588236</v>
      </c>
      <c r="E15" s="107">
        <v>102</v>
      </c>
      <c r="F15" s="31">
        <v>26</v>
      </c>
      <c r="G15" s="32">
        <f t="shared" si="0"/>
        <v>3.923076923076923</v>
      </c>
      <c r="H15" s="31" t="s">
        <v>10</v>
      </c>
      <c r="I15" s="32" t="s">
        <v>10</v>
      </c>
      <c r="J15" s="31">
        <v>26</v>
      </c>
      <c r="K15" s="32">
        <f>E15/J15</f>
        <v>3.923076923076923</v>
      </c>
      <c r="L15" s="31" t="s">
        <v>10</v>
      </c>
      <c r="M15" s="32" t="s">
        <v>10</v>
      </c>
      <c r="N15" s="31" t="s">
        <v>10</v>
      </c>
      <c r="O15" s="33" t="s">
        <v>10</v>
      </c>
      <c r="P15" s="51" t="s">
        <v>100</v>
      </c>
    </row>
    <row r="16" spans="1:16" ht="16.5" thickBot="1">
      <c r="A16" s="114"/>
      <c r="B16" s="102"/>
      <c r="C16" s="106"/>
      <c r="D16" s="110"/>
      <c r="E16" s="102"/>
      <c r="F16" s="34" t="s">
        <v>10</v>
      </c>
      <c r="G16" s="35" t="s">
        <v>10</v>
      </c>
      <c r="H16" s="34" t="s">
        <v>10</v>
      </c>
      <c r="I16" s="35" t="s">
        <v>10</v>
      </c>
      <c r="J16" s="34" t="s">
        <v>10</v>
      </c>
      <c r="K16" s="35" t="s">
        <v>10</v>
      </c>
      <c r="L16" s="34" t="s">
        <v>10</v>
      </c>
      <c r="M16" s="35" t="s">
        <v>10</v>
      </c>
      <c r="N16" s="34" t="s">
        <v>10</v>
      </c>
      <c r="O16" s="36" t="s">
        <v>10</v>
      </c>
      <c r="P16" s="51" t="s">
        <v>101</v>
      </c>
    </row>
    <row r="17" spans="1:16" ht="15.75">
      <c r="A17" s="103">
        <v>0.8263888888888888</v>
      </c>
      <c r="B17" s="100">
        <v>0.6875</v>
      </c>
      <c r="C17" s="105">
        <v>25.5</v>
      </c>
      <c r="D17" s="109">
        <f>C17*60/E17</f>
        <v>17.386363636363637</v>
      </c>
      <c r="E17" s="107">
        <v>88</v>
      </c>
      <c r="F17" s="31">
        <v>29</v>
      </c>
      <c r="G17" s="32">
        <f t="shared" si="0"/>
        <v>3.0344827586206895</v>
      </c>
      <c r="H17" s="31">
        <v>29</v>
      </c>
      <c r="I17" s="32">
        <f>E17/H17</f>
        <v>3.0344827586206895</v>
      </c>
      <c r="J17" s="31">
        <v>29</v>
      </c>
      <c r="K17" s="32">
        <f>E17/J17</f>
        <v>3.0344827586206895</v>
      </c>
      <c r="L17" s="31">
        <v>29</v>
      </c>
      <c r="M17" s="32">
        <f>E17/L17</f>
        <v>3.0344827586206895</v>
      </c>
      <c r="N17" s="31" t="s">
        <v>10</v>
      </c>
      <c r="O17" s="33" t="s">
        <v>10</v>
      </c>
      <c r="P17" s="51" t="s">
        <v>100</v>
      </c>
    </row>
    <row r="18" spans="1:16" ht="16.5" thickBot="1">
      <c r="A18" s="114"/>
      <c r="B18" s="102"/>
      <c r="C18" s="106"/>
      <c r="D18" s="110"/>
      <c r="E18" s="102"/>
      <c r="F18" s="34">
        <v>44</v>
      </c>
      <c r="G18" s="35">
        <f>E17/F18</f>
        <v>2</v>
      </c>
      <c r="H18" s="34">
        <v>44</v>
      </c>
      <c r="I18" s="35">
        <f>E17/H18</f>
        <v>2</v>
      </c>
      <c r="J18" s="34">
        <v>44</v>
      </c>
      <c r="K18" s="35">
        <f>E17/J18</f>
        <v>2</v>
      </c>
      <c r="L18" s="34" t="s">
        <v>10</v>
      </c>
      <c r="M18" s="35" t="s">
        <v>10</v>
      </c>
      <c r="N18" s="34" t="s">
        <v>10</v>
      </c>
      <c r="O18" s="36" t="s">
        <v>10</v>
      </c>
      <c r="P18" s="51" t="s">
        <v>101</v>
      </c>
    </row>
    <row r="19" spans="1:16" ht="15.75">
      <c r="A19" s="103">
        <v>0.9375</v>
      </c>
      <c r="B19" s="100">
        <v>0.9125</v>
      </c>
      <c r="C19" s="105">
        <v>19.1</v>
      </c>
      <c r="D19" s="109">
        <f>C19*60/E19</f>
        <v>17.104477611940297</v>
      </c>
      <c r="E19" s="107">
        <v>67</v>
      </c>
      <c r="F19" s="31">
        <v>22</v>
      </c>
      <c r="G19" s="32">
        <f t="shared" si="0"/>
        <v>3.0454545454545454</v>
      </c>
      <c r="H19" s="31">
        <v>22</v>
      </c>
      <c r="I19" s="32">
        <f>E19/H19</f>
        <v>3.0454545454545454</v>
      </c>
      <c r="J19" s="31">
        <v>34</v>
      </c>
      <c r="K19" s="32">
        <f>E19/J19</f>
        <v>1.9705882352941178</v>
      </c>
      <c r="L19" s="31">
        <v>34</v>
      </c>
      <c r="M19" s="32">
        <f>E19/L19</f>
        <v>1.9705882352941178</v>
      </c>
      <c r="N19" s="31" t="s">
        <v>10</v>
      </c>
      <c r="O19" s="33" t="s">
        <v>10</v>
      </c>
      <c r="P19" s="51" t="s">
        <v>100</v>
      </c>
    </row>
    <row r="20" spans="1:16" ht="16.5" thickBot="1">
      <c r="A20" s="114"/>
      <c r="B20" s="102"/>
      <c r="C20" s="106"/>
      <c r="D20" s="110"/>
      <c r="E20" s="102"/>
      <c r="F20" s="34">
        <v>22</v>
      </c>
      <c r="G20" s="35">
        <f>E19/F20</f>
        <v>3.0454545454545454</v>
      </c>
      <c r="H20" s="34">
        <v>22</v>
      </c>
      <c r="I20" s="35">
        <f>E19/H20</f>
        <v>3.0454545454545454</v>
      </c>
      <c r="J20" s="34">
        <v>22</v>
      </c>
      <c r="K20" s="35">
        <f>E19/J20</f>
        <v>3.0454545454545454</v>
      </c>
      <c r="L20" s="34">
        <v>34</v>
      </c>
      <c r="M20" s="35">
        <f>E19/L20</f>
        <v>1.9705882352941178</v>
      </c>
      <c r="N20" s="34" t="s">
        <v>10</v>
      </c>
      <c r="O20" s="36" t="s">
        <v>10</v>
      </c>
      <c r="P20" s="51" t="s">
        <v>101</v>
      </c>
    </row>
    <row r="21" spans="7:15" ht="15.75">
      <c r="G21" s="21">
        <f>G3+G5+G7+G9+G11+G13+G15+G17+G19</f>
        <v>92.81253803667597</v>
      </c>
      <c r="I21" s="4">
        <f>I5+I7+I9+I11+I17+I19</f>
        <v>50.652426905976604</v>
      </c>
      <c r="K21" s="21">
        <f>K3+K5+K7+K9+K11+K13+K15+K17+K19</f>
        <v>90.82613326497707</v>
      </c>
      <c r="M21" s="4">
        <f>M5+M7+M9+M11+M17+M19</f>
        <v>26.60696175021733</v>
      </c>
      <c r="O21" s="4">
        <f>O5+O7+O9+O11</f>
        <v>16.96847324788501</v>
      </c>
    </row>
    <row r="22" spans="7:15" ht="15.75">
      <c r="G22" s="4">
        <f>G6+G8+G10+G12+G18+G20</f>
        <v>56.96718657159834</v>
      </c>
      <c r="I22" s="4">
        <f>I6+I8+I10+I12+I18+I20</f>
        <v>56.96718657159834</v>
      </c>
      <c r="K22" s="4">
        <f>K6+K8+K10+K12+K18+K20</f>
        <v>56.96718657159834</v>
      </c>
      <c r="M22" s="4">
        <f>M6+M8+M10+M12+M20</f>
        <v>28.81468868249054</v>
      </c>
      <c r="O22" s="4">
        <f>O6+O8+O10+O12</f>
        <v>16.96847324788501</v>
      </c>
    </row>
    <row r="23" ht="15.75">
      <c r="G23" s="4"/>
    </row>
    <row r="24" spans="2:5" ht="27" customHeight="1">
      <c r="B24" s="1" t="s">
        <v>96</v>
      </c>
      <c r="E24" s="24" t="s">
        <v>97</v>
      </c>
    </row>
    <row r="26" spans="1:11" ht="15.75">
      <c r="A26" s="108" t="s">
        <v>5</v>
      </c>
      <c r="B26" s="108"/>
      <c r="C26" s="108" t="s">
        <v>6</v>
      </c>
      <c r="D26" s="108"/>
      <c r="E26" s="108" t="s">
        <v>11</v>
      </c>
      <c r="F26" s="108"/>
      <c r="G26" s="108" t="s">
        <v>7</v>
      </c>
      <c r="H26" s="108"/>
      <c r="I26" s="111" t="s">
        <v>8</v>
      </c>
      <c r="J26" s="112"/>
      <c r="K26" s="113"/>
    </row>
    <row r="27" spans="1:11" ht="16.5" thickBot="1">
      <c r="A27" s="30" t="s">
        <v>14</v>
      </c>
      <c r="B27" s="30" t="s">
        <v>12</v>
      </c>
      <c r="C27" s="30" t="s">
        <v>13</v>
      </c>
      <c r="D27" s="30" t="s">
        <v>15</v>
      </c>
      <c r="E27" s="30" t="s">
        <v>18</v>
      </c>
      <c r="F27" s="30" t="s">
        <v>19</v>
      </c>
      <c r="G27" s="30" t="s">
        <v>16</v>
      </c>
      <c r="H27" s="30" t="s">
        <v>17</v>
      </c>
      <c r="I27" s="30" t="s">
        <v>88</v>
      </c>
      <c r="J27" s="30" t="s">
        <v>20</v>
      </c>
      <c r="K27" s="30" t="s">
        <v>21</v>
      </c>
    </row>
    <row r="28" spans="1:11" ht="15.75">
      <c r="A28" s="37">
        <f>G3</f>
        <v>3.95</v>
      </c>
      <c r="B28" s="32">
        <f>A28*3</f>
        <v>11.850000000000001</v>
      </c>
      <c r="C28" s="32" t="str">
        <f>I3</f>
        <v>-</v>
      </c>
      <c r="D28" s="32" t="s">
        <v>10</v>
      </c>
      <c r="E28" s="32">
        <f>K3</f>
        <v>3.0384615384615383</v>
      </c>
      <c r="F28" s="32">
        <f>E28*4</f>
        <v>12.153846153846153</v>
      </c>
      <c r="G28" s="32" t="str">
        <f>M3</f>
        <v>-</v>
      </c>
      <c r="H28" s="32" t="s">
        <v>10</v>
      </c>
      <c r="I28" s="31" t="s">
        <v>10</v>
      </c>
      <c r="J28" s="32" t="str">
        <f>O3</f>
        <v>-</v>
      </c>
      <c r="K28" s="38" t="s">
        <v>10</v>
      </c>
    </row>
    <row r="29" spans="1:11" ht="16.5" thickBot="1">
      <c r="A29" s="48" t="str">
        <f>G4</f>
        <v>-</v>
      </c>
      <c r="B29" s="22" t="s">
        <v>10</v>
      </c>
      <c r="C29" s="22" t="str">
        <f>I4</f>
        <v>-</v>
      </c>
      <c r="D29" s="22" t="s">
        <v>10</v>
      </c>
      <c r="E29" s="22" t="str">
        <f>K4</f>
        <v>-</v>
      </c>
      <c r="F29" s="22" t="s">
        <v>10</v>
      </c>
      <c r="G29" s="22" t="str">
        <f>M4</f>
        <v>-</v>
      </c>
      <c r="H29" s="22" t="s">
        <v>10</v>
      </c>
      <c r="I29" s="7" t="s">
        <v>10</v>
      </c>
      <c r="J29" s="22" t="str">
        <f>O4</f>
        <v>-</v>
      </c>
      <c r="K29" s="49" t="s">
        <v>10</v>
      </c>
    </row>
    <row r="30" spans="1:11" ht="15.75">
      <c r="A30" s="37">
        <f aca="true" t="shared" si="1" ref="A30:A45">G5</f>
        <v>27.25</v>
      </c>
      <c r="B30" s="32">
        <f aca="true" t="shared" si="2" ref="B30:B45">A30*3</f>
        <v>81.75</v>
      </c>
      <c r="C30" s="41">
        <f aca="true" t="shared" si="3" ref="C30:C45">I5</f>
        <v>18.166666666666668</v>
      </c>
      <c r="D30" s="32">
        <f aca="true" t="shared" si="4" ref="D30:D37">C30*5</f>
        <v>90.83333333333334</v>
      </c>
      <c r="E30" s="42">
        <f aca="true" t="shared" si="5" ref="E30:E45">K5</f>
        <v>27.25</v>
      </c>
      <c r="F30" s="32">
        <f aca="true" t="shared" si="6" ref="F30:F45">E30*4</f>
        <v>109</v>
      </c>
      <c r="G30" s="32">
        <f aca="true" t="shared" si="7" ref="G30:G45">M5</f>
        <v>6.8125</v>
      </c>
      <c r="H30" s="32">
        <f aca="true" t="shared" si="8" ref="H30:H45">G30*2</f>
        <v>13.625</v>
      </c>
      <c r="I30" s="43">
        <v>3.77</v>
      </c>
      <c r="J30" s="32">
        <f aca="true" t="shared" si="9" ref="J30:J45">O5</f>
        <v>4.037037037037037</v>
      </c>
      <c r="K30" s="38">
        <f aca="true" t="shared" si="10" ref="K30:K37">I30*J30</f>
        <v>15.21962962962963</v>
      </c>
    </row>
    <row r="31" spans="1:11" ht="16.5" thickBot="1">
      <c r="A31" s="39">
        <f t="shared" si="1"/>
        <v>21.8</v>
      </c>
      <c r="B31" s="35">
        <f t="shared" si="2"/>
        <v>65.4</v>
      </c>
      <c r="C31" s="44">
        <f t="shared" si="3"/>
        <v>21.8</v>
      </c>
      <c r="D31" s="35">
        <f t="shared" si="4"/>
        <v>109</v>
      </c>
      <c r="E31" s="45">
        <f t="shared" si="5"/>
        <v>21.8</v>
      </c>
      <c r="F31" s="35">
        <f t="shared" si="6"/>
        <v>87.2</v>
      </c>
      <c r="G31" s="35">
        <f t="shared" si="7"/>
        <v>10.9</v>
      </c>
      <c r="H31" s="35">
        <f t="shared" si="8"/>
        <v>21.8</v>
      </c>
      <c r="I31" s="46">
        <v>3.78</v>
      </c>
      <c r="J31" s="35">
        <f t="shared" si="9"/>
        <v>4.037037037037037</v>
      </c>
      <c r="K31" s="40">
        <f t="shared" si="10"/>
        <v>15.26</v>
      </c>
    </row>
    <row r="32" spans="1:11" ht="15.75">
      <c r="A32" s="37">
        <f t="shared" si="1"/>
        <v>13.4</v>
      </c>
      <c r="B32" s="32">
        <f t="shared" si="2"/>
        <v>40.2</v>
      </c>
      <c r="C32" s="41">
        <f t="shared" si="3"/>
        <v>3.9411764705882355</v>
      </c>
      <c r="D32" s="32">
        <f t="shared" si="4"/>
        <v>19.705882352941178</v>
      </c>
      <c r="E32" s="42">
        <f t="shared" si="5"/>
        <v>13.4</v>
      </c>
      <c r="F32" s="32">
        <f t="shared" si="6"/>
        <v>53.6</v>
      </c>
      <c r="G32" s="32">
        <f t="shared" si="7"/>
        <v>3.9411764705882355</v>
      </c>
      <c r="H32" s="32">
        <f t="shared" si="8"/>
        <v>7.882352941176471</v>
      </c>
      <c r="I32" s="47">
        <v>2.58</v>
      </c>
      <c r="J32" s="32">
        <f t="shared" si="9"/>
        <v>3.9411764705882355</v>
      </c>
      <c r="K32" s="38">
        <f t="shared" si="10"/>
        <v>10.168235294117649</v>
      </c>
    </row>
    <row r="33" spans="1:11" ht="16.5" thickBot="1">
      <c r="A33" s="39">
        <f t="shared" si="1"/>
        <v>3.9411764705882355</v>
      </c>
      <c r="B33" s="35">
        <f t="shared" si="2"/>
        <v>11.823529411764707</v>
      </c>
      <c r="C33" s="44">
        <f t="shared" si="3"/>
        <v>3.9411764705882355</v>
      </c>
      <c r="D33" s="35">
        <f t="shared" si="4"/>
        <v>19.705882352941178</v>
      </c>
      <c r="E33" s="45">
        <f t="shared" si="5"/>
        <v>3.9411764705882355</v>
      </c>
      <c r="F33" s="35">
        <f t="shared" si="6"/>
        <v>15.764705882352942</v>
      </c>
      <c r="G33" s="35">
        <f t="shared" si="7"/>
        <v>3.9411764705882355</v>
      </c>
      <c r="H33" s="35">
        <f t="shared" si="8"/>
        <v>7.882352941176471</v>
      </c>
      <c r="I33" s="46">
        <v>2.58</v>
      </c>
      <c r="J33" s="35">
        <f t="shared" si="9"/>
        <v>3.9411764705882355</v>
      </c>
      <c r="K33" s="40">
        <f t="shared" si="10"/>
        <v>10.168235294117649</v>
      </c>
    </row>
    <row r="34" spans="1:11" ht="15.75">
      <c r="A34" s="37">
        <f t="shared" si="1"/>
        <v>16.142857142857142</v>
      </c>
      <c r="B34" s="32">
        <f t="shared" si="2"/>
        <v>48.42857142857143</v>
      </c>
      <c r="C34" s="32">
        <f t="shared" si="3"/>
        <v>12.555555555555555</v>
      </c>
      <c r="D34" s="32">
        <f t="shared" si="4"/>
        <v>62.77777777777778</v>
      </c>
      <c r="E34" s="32">
        <f t="shared" si="5"/>
        <v>16.142857142857142</v>
      </c>
      <c r="F34" s="32">
        <f t="shared" si="6"/>
        <v>64.57142857142857</v>
      </c>
      <c r="G34" s="32">
        <f t="shared" si="7"/>
        <v>4.035714285714286</v>
      </c>
      <c r="H34" s="32">
        <f t="shared" si="8"/>
        <v>8.071428571428571</v>
      </c>
      <c r="I34" s="47">
        <v>3.52</v>
      </c>
      <c r="J34" s="32">
        <f t="shared" si="9"/>
        <v>4.035714285714286</v>
      </c>
      <c r="K34" s="38">
        <f t="shared" si="10"/>
        <v>14.205714285714285</v>
      </c>
    </row>
    <row r="35" spans="1:11" ht="16.5" thickBot="1">
      <c r="A35" s="39">
        <f t="shared" si="1"/>
        <v>12.555555555555555</v>
      </c>
      <c r="B35" s="35">
        <f t="shared" si="2"/>
        <v>37.666666666666664</v>
      </c>
      <c r="C35" s="35">
        <f t="shared" si="3"/>
        <v>12.555555555555555</v>
      </c>
      <c r="D35" s="35">
        <f t="shared" si="4"/>
        <v>62.77777777777778</v>
      </c>
      <c r="E35" s="35">
        <f t="shared" si="5"/>
        <v>12.555555555555555</v>
      </c>
      <c r="F35" s="35">
        <f t="shared" si="6"/>
        <v>50.22222222222222</v>
      </c>
      <c r="G35" s="35">
        <f t="shared" si="7"/>
        <v>5.947368421052632</v>
      </c>
      <c r="H35" s="35">
        <f t="shared" si="8"/>
        <v>11.894736842105264</v>
      </c>
      <c r="I35" s="46">
        <v>3.83</v>
      </c>
      <c r="J35" s="35">
        <f t="shared" si="9"/>
        <v>4.035714285714286</v>
      </c>
      <c r="K35" s="40">
        <f t="shared" si="10"/>
        <v>15.456785714285713</v>
      </c>
    </row>
    <row r="36" spans="1:11" ht="15.75">
      <c r="A36" s="37">
        <f t="shared" si="1"/>
        <v>18.166666666666668</v>
      </c>
      <c r="B36" s="32">
        <f t="shared" si="2"/>
        <v>54.5</v>
      </c>
      <c r="C36" s="32">
        <f t="shared" si="3"/>
        <v>9.909090909090908</v>
      </c>
      <c r="D36" s="32">
        <f t="shared" si="4"/>
        <v>49.54545454545454</v>
      </c>
      <c r="E36" s="32">
        <f t="shared" si="5"/>
        <v>18.166666666666668</v>
      </c>
      <c r="F36" s="32">
        <f t="shared" si="6"/>
        <v>72.66666666666667</v>
      </c>
      <c r="G36" s="32">
        <f t="shared" si="7"/>
        <v>6.8125</v>
      </c>
      <c r="H36" s="32">
        <f t="shared" si="8"/>
        <v>13.625</v>
      </c>
      <c r="I36" s="47">
        <v>3.53</v>
      </c>
      <c r="J36" s="32">
        <f t="shared" si="9"/>
        <v>4.954545454545454</v>
      </c>
      <c r="K36" s="38">
        <f t="shared" si="10"/>
        <v>17.489545454545453</v>
      </c>
    </row>
    <row r="37" spans="1:11" ht="16.5" thickBot="1">
      <c r="A37" s="39">
        <f t="shared" si="1"/>
        <v>13.625</v>
      </c>
      <c r="B37" s="35">
        <f t="shared" si="2"/>
        <v>40.875</v>
      </c>
      <c r="C37" s="35">
        <f t="shared" si="3"/>
        <v>13.625</v>
      </c>
      <c r="D37" s="35">
        <f t="shared" si="4"/>
        <v>68.125</v>
      </c>
      <c r="E37" s="35">
        <f t="shared" si="5"/>
        <v>13.625</v>
      </c>
      <c r="F37" s="35">
        <f t="shared" si="6"/>
        <v>54.5</v>
      </c>
      <c r="G37" s="35">
        <f t="shared" si="7"/>
        <v>6.055555555555555</v>
      </c>
      <c r="H37" s="35">
        <f t="shared" si="8"/>
        <v>12.11111111111111</v>
      </c>
      <c r="I37" s="46">
        <v>3.55</v>
      </c>
      <c r="J37" s="35">
        <f t="shared" si="9"/>
        <v>4.954545454545454</v>
      </c>
      <c r="K37" s="40">
        <f t="shared" si="10"/>
        <v>17.58863636363636</v>
      </c>
    </row>
    <row r="38" spans="1:11" ht="15.75">
      <c r="A38" s="37">
        <f t="shared" si="1"/>
        <v>3.9</v>
      </c>
      <c r="B38" s="32">
        <f t="shared" si="2"/>
        <v>11.7</v>
      </c>
      <c r="C38" s="32" t="str">
        <f t="shared" si="3"/>
        <v>-</v>
      </c>
      <c r="D38" s="32" t="s">
        <v>10</v>
      </c>
      <c r="E38" s="32">
        <f t="shared" si="5"/>
        <v>3.9</v>
      </c>
      <c r="F38" s="32">
        <f t="shared" si="6"/>
        <v>15.6</v>
      </c>
      <c r="G38" s="32" t="str">
        <f t="shared" si="7"/>
        <v>-</v>
      </c>
      <c r="H38" s="32" t="s">
        <v>10</v>
      </c>
      <c r="I38" s="31" t="s">
        <v>10</v>
      </c>
      <c r="J38" s="32" t="str">
        <f t="shared" si="9"/>
        <v>-</v>
      </c>
      <c r="K38" s="38" t="s">
        <v>10</v>
      </c>
    </row>
    <row r="39" spans="1:11" ht="16.5" thickBot="1">
      <c r="A39" s="39" t="str">
        <f t="shared" si="1"/>
        <v>-</v>
      </c>
      <c r="B39" s="35" t="s">
        <v>10</v>
      </c>
      <c r="C39" s="35" t="str">
        <f t="shared" si="3"/>
        <v>-</v>
      </c>
      <c r="D39" s="35" t="s">
        <v>10</v>
      </c>
      <c r="E39" s="35" t="str">
        <f t="shared" si="5"/>
        <v>-</v>
      </c>
      <c r="F39" s="35" t="s">
        <v>10</v>
      </c>
      <c r="G39" s="35" t="str">
        <f t="shared" si="7"/>
        <v>-</v>
      </c>
      <c r="H39" s="35" t="s">
        <v>10</v>
      </c>
      <c r="I39" s="34" t="s">
        <v>10</v>
      </c>
      <c r="J39" s="35" t="str">
        <f t="shared" si="9"/>
        <v>-</v>
      </c>
      <c r="K39" s="40" t="s">
        <v>10</v>
      </c>
    </row>
    <row r="40" spans="1:11" ht="15.75">
      <c r="A40" s="37">
        <f t="shared" si="1"/>
        <v>3.923076923076923</v>
      </c>
      <c r="B40" s="32">
        <f t="shared" si="2"/>
        <v>11.769230769230768</v>
      </c>
      <c r="C40" s="32" t="str">
        <f t="shared" si="3"/>
        <v>-</v>
      </c>
      <c r="D40" s="32" t="s">
        <v>10</v>
      </c>
      <c r="E40" s="32">
        <f t="shared" si="5"/>
        <v>3.923076923076923</v>
      </c>
      <c r="F40" s="32">
        <f t="shared" si="6"/>
        <v>15.692307692307692</v>
      </c>
      <c r="G40" s="32" t="str">
        <f t="shared" si="7"/>
        <v>-</v>
      </c>
      <c r="H40" s="32" t="s">
        <v>10</v>
      </c>
      <c r="I40" s="31" t="s">
        <v>10</v>
      </c>
      <c r="J40" s="32" t="str">
        <f t="shared" si="9"/>
        <v>-</v>
      </c>
      <c r="K40" s="38" t="s">
        <v>10</v>
      </c>
    </row>
    <row r="41" spans="1:11" ht="16.5" thickBot="1">
      <c r="A41" s="39" t="str">
        <f t="shared" si="1"/>
        <v>-</v>
      </c>
      <c r="B41" s="35" t="s">
        <v>10</v>
      </c>
      <c r="C41" s="35" t="str">
        <f t="shared" si="3"/>
        <v>-</v>
      </c>
      <c r="D41" s="35" t="s">
        <v>10</v>
      </c>
      <c r="E41" s="35" t="str">
        <f t="shared" si="5"/>
        <v>-</v>
      </c>
      <c r="F41" s="35" t="s">
        <v>10</v>
      </c>
      <c r="G41" s="35" t="str">
        <f t="shared" si="7"/>
        <v>-</v>
      </c>
      <c r="H41" s="35" t="s">
        <v>10</v>
      </c>
      <c r="I41" s="34" t="s">
        <v>10</v>
      </c>
      <c r="J41" s="35" t="str">
        <f t="shared" si="9"/>
        <v>-</v>
      </c>
      <c r="K41" s="40" t="s">
        <v>10</v>
      </c>
    </row>
    <row r="42" spans="1:11" ht="15.75">
      <c r="A42" s="37">
        <f t="shared" si="1"/>
        <v>3.0344827586206895</v>
      </c>
      <c r="B42" s="32">
        <f t="shared" si="2"/>
        <v>9.103448275862068</v>
      </c>
      <c r="C42" s="32">
        <f t="shared" si="3"/>
        <v>3.0344827586206895</v>
      </c>
      <c r="D42" s="32">
        <f>C42*5</f>
        <v>15.172413793103448</v>
      </c>
      <c r="E42" s="32">
        <f t="shared" si="5"/>
        <v>3.0344827586206895</v>
      </c>
      <c r="F42" s="32">
        <f t="shared" si="6"/>
        <v>12.137931034482758</v>
      </c>
      <c r="G42" s="32">
        <f t="shared" si="7"/>
        <v>3.0344827586206895</v>
      </c>
      <c r="H42" s="32">
        <f t="shared" si="8"/>
        <v>6.068965517241379</v>
      </c>
      <c r="I42" s="31" t="s">
        <v>10</v>
      </c>
      <c r="J42" s="32" t="str">
        <f t="shared" si="9"/>
        <v>-</v>
      </c>
      <c r="K42" s="38" t="s">
        <v>10</v>
      </c>
    </row>
    <row r="43" spans="1:11" ht="16.5" thickBot="1">
      <c r="A43" s="39">
        <f t="shared" si="1"/>
        <v>2</v>
      </c>
      <c r="B43" s="35">
        <f t="shared" si="2"/>
        <v>6</v>
      </c>
      <c r="C43" s="35">
        <f t="shared" si="3"/>
        <v>2</v>
      </c>
      <c r="D43" s="35">
        <f>C43*5</f>
        <v>10</v>
      </c>
      <c r="E43" s="35">
        <f t="shared" si="5"/>
        <v>2</v>
      </c>
      <c r="F43" s="35">
        <f t="shared" si="6"/>
        <v>8</v>
      </c>
      <c r="G43" s="35" t="str">
        <f t="shared" si="7"/>
        <v>-</v>
      </c>
      <c r="H43" s="35" t="s">
        <v>10</v>
      </c>
      <c r="I43" s="34" t="s">
        <v>10</v>
      </c>
      <c r="J43" s="35" t="str">
        <f t="shared" si="9"/>
        <v>-</v>
      </c>
      <c r="K43" s="40" t="s">
        <v>10</v>
      </c>
    </row>
    <row r="44" spans="1:13" ht="15.75">
      <c r="A44" s="37">
        <f t="shared" si="1"/>
        <v>3.0454545454545454</v>
      </c>
      <c r="B44" s="32">
        <f t="shared" si="2"/>
        <v>9.136363636363637</v>
      </c>
      <c r="C44" s="32">
        <f t="shared" si="3"/>
        <v>3.0454545454545454</v>
      </c>
      <c r="D44" s="32">
        <f>C44*5</f>
        <v>15.227272727272727</v>
      </c>
      <c r="E44" s="32">
        <f t="shared" si="5"/>
        <v>1.9705882352941178</v>
      </c>
      <c r="F44" s="32">
        <f t="shared" si="6"/>
        <v>7.882352941176471</v>
      </c>
      <c r="G44" s="32">
        <f t="shared" si="7"/>
        <v>1.9705882352941178</v>
      </c>
      <c r="H44" s="32">
        <f t="shared" si="8"/>
        <v>3.9411764705882355</v>
      </c>
      <c r="I44" s="31">
        <v>0.5</v>
      </c>
      <c r="J44" s="32" t="str">
        <f t="shared" si="9"/>
        <v>-</v>
      </c>
      <c r="K44" s="38" t="s">
        <v>10</v>
      </c>
      <c r="M44" s="52"/>
    </row>
    <row r="45" spans="1:11" ht="16.5" thickBot="1">
      <c r="A45" s="39">
        <f t="shared" si="1"/>
        <v>3.0454545454545454</v>
      </c>
      <c r="B45" s="35">
        <f t="shared" si="2"/>
        <v>9.136363636363637</v>
      </c>
      <c r="C45" s="35">
        <f t="shared" si="3"/>
        <v>3.0454545454545454</v>
      </c>
      <c r="D45" s="35">
        <f>C45*5</f>
        <v>15.227272727272727</v>
      </c>
      <c r="E45" s="35">
        <f t="shared" si="5"/>
        <v>3.0454545454545454</v>
      </c>
      <c r="F45" s="35">
        <f t="shared" si="6"/>
        <v>12.181818181818182</v>
      </c>
      <c r="G45" s="35">
        <f t="shared" si="7"/>
        <v>1.9705882352941178</v>
      </c>
      <c r="H45" s="35">
        <f t="shared" si="8"/>
        <v>3.9411764705882355</v>
      </c>
      <c r="I45" s="34" t="s">
        <v>10</v>
      </c>
      <c r="J45" s="35" t="str">
        <f t="shared" si="9"/>
        <v>-</v>
      </c>
      <c r="K45" s="40" t="s">
        <v>10</v>
      </c>
    </row>
    <row r="46" spans="2:17" ht="15.75">
      <c r="B46" s="23">
        <f>B28+B30+B32+B34+B36+B38+B40+B42+B44</f>
        <v>278.43761411002794</v>
      </c>
      <c r="D46" s="23">
        <f>D30+D32+D34+D36+D42+D44</f>
        <v>253.262134529883</v>
      </c>
      <c r="F46" s="23">
        <f>F28+F30+F32+F34+F36+F38+F40+F42+F44</f>
        <v>363.3045330599083</v>
      </c>
      <c r="H46" s="23">
        <f>H30+H32+H34+H36+H42+H44</f>
        <v>53.21392350043466</v>
      </c>
      <c r="K46" s="50">
        <f>K30+K32+K34+K36</f>
        <v>57.083124664007016</v>
      </c>
      <c r="L46" s="2" t="s">
        <v>24</v>
      </c>
      <c r="M46" s="3">
        <f>B46+D46+F46+H46+K46</f>
        <v>1005.3013298642609</v>
      </c>
      <c r="O46" s="2" t="s">
        <v>29</v>
      </c>
      <c r="P46" s="3">
        <v>254</v>
      </c>
      <c r="Q46" s="1" t="s">
        <v>240</v>
      </c>
    </row>
    <row r="47" spans="1:17" ht="15.75">
      <c r="A47" s="1" t="s">
        <v>22</v>
      </c>
      <c r="B47" s="3">
        <f>B31+B33+B35+B37+B43+B45</f>
        <v>170.901559714795</v>
      </c>
      <c r="D47" s="3">
        <f>D31+D33+D35+D37+D43+D45</f>
        <v>284.8359328579917</v>
      </c>
      <c r="F47" s="3">
        <f>F31+F33+F35+F37+F43+F45</f>
        <v>227.86874628639336</v>
      </c>
      <c r="H47" s="3">
        <f>H31+H33+H35+H37+H45</f>
        <v>57.62937736498108</v>
      </c>
      <c r="K47" s="9">
        <f>K31+K33+K35+K37</f>
        <v>58.473657372039725</v>
      </c>
      <c r="L47" s="2" t="s">
        <v>25</v>
      </c>
      <c r="M47" s="3">
        <f>B47+D47+F47+H47+K47</f>
        <v>799.7092735962009</v>
      </c>
      <c r="O47" s="2" t="s">
        <v>30</v>
      </c>
      <c r="P47" s="3">
        <v>112</v>
      </c>
      <c r="Q47" s="1" t="s">
        <v>240</v>
      </c>
    </row>
    <row r="48" spans="12:13" ht="15.75">
      <c r="L48" s="2" t="s">
        <v>26</v>
      </c>
      <c r="M48" s="3">
        <f>G21</f>
        <v>92.81253803667597</v>
      </c>
    </row>
    <row r="49" spans="1:13" ht="15.75">
      <c r="A49" s="2" t="s">
        <v>23</v>
      </c>
      <c r="B49" s="25">
        <f>M46/M48</f>
        <v>10.83152504101336</v>
      </c>
      <c r="C49" s="1" t="s">
        <v>103</v>
      </c>
      <c r="L49" s="2" t="s">
        <v>27</v>
      </c>
      <c r="M49" s="3">
        <f>G22</f>
        <v>56.96718657159834</v>
      </c>
    </row>
    <row r="50" spans="1:4" ht="15.75">
      <c r="A50" s="2" t="s">
        <v>28</v>
      </c>
      <c r="B50" s="25">
        <f>M47/M49</f>
        <v>14.038068609744286</v>
      </c>
      <c r="C50" s="1" t="s">
        <v>103</v>
      </c>
      <c r="D50" s="24" t="s">
        <v>98</v>
      </c>
    </row>
    <row r="51" spans="1:3" ht="15.75">
      <c r="A51" s="6" t="s">
        <v>31</v>
      </c>
      <c r="B51" s="25">
        <f>(B49*P46+B50*P47)/365</f>
        <v>11.845126149886996</v>
      </c>
      <c r="C51" s="1" t="s">
        <v>103</v>
      </c>
    </row>
    <row r="56" spans="2:7" ht="15.75">
      <c r="B56" s="1" t="s">
        <v>95</v>
      </c>
      <c r="F56" s="2" t="s">
        <v>34</v>
      </c>
      <c r="G56" s="2" t="s">
        <v>35</v>
      </c>
    </row>
    <row r="57" spans="6:7" ht="15.75">
      <c r="F57" s="2">
        <f>ROUNDUP(G21/G57,0)</f>
        <v>117</v>
      </c>
      <c r="G57" s="2">
        <v>0.8</v>
      </c>
    </row>
    <row r="58" spans="1:6" ht="15.75">
      <c r="A58" s="7" t="s">
        <v>32</v>
      </c>
      <c r="B58" s="7">
        <f>M46*P46+M47*P47</f>
        <v>344913.97642829677</v>
      </c>
      <c r="C58" s="1" t="s">
        <v>102</v>
      </c>
      <c r="F58" s="1" t="s">
        <v>104</v>
      </c>
    </row>
    <row r="59" spans="1:3" ht="15.75">
      <c r="A59" s="2" t="s">
        <v>33</v>
      </c>
      <c r="B59" s="5">
        <f>B58/F57</f>
        <v>2947.982704515357</v>
      </c>
      <c r="C59" s="1" t="s">
        <v>103</v>
      </c>
    </row>
    <row r="60" spans="1:2" ht="15.75">
      <c r="A60" s="8"/>
      <c r="B60" s="8"/>
    </row>
    <row r="62" ht="15.75">
      <c r="A62" s="1">
        <v>1.3</v>
      </c>
    </row>
    <row r="63" ht="15.75">
      <c r="B63" s="1" t="s">
        <v>94</v>
      </c>
    </row>
    <row r="66" ht="15.75">
      <c r="D66" s="24" t="s">
        <v>99</v>
      </c>
    </row>
    <row r="68" spans="1:11" ht="15.75">
      <c r="A68" s="98" t="s">
        <v>3</v>
      </c>
      <c r="B68" s="94" t="s">
        <v>5</v>
      </c>
      <c r="C68" s="94"/>
      <c r="D68" s="94" t="s">
        <v>6</v>
      </c>
      <c r="E68" s="94"/>
      <c r="F68" s="94" t="s">
        <v>11</v>
      </c>
      <c r="G68" s="94"/>
      <c r="H68" s="94" t="s">
        <v>7</v>
      </c>
      <c r="I68" s="94"/>
      <c r="J68" s="94" t="s">
        <v>8</v>
      </c>
      <c r="K68" s="94"/>
    </row>
    <row r="69" spans="1:11" ht="16.5" thickBot="1">
      <c r="A69" s="99"/>
      <c r="B69" s="92" t="s">
        <v>36</v>
      </c>
      <c r="C69" s="93"/>
      <c r="D69" s="92" t="s">
        <v>37</v>
      </c>
      <c r="E69" s="93"/>
      <c r="F69" s="92" t="s">
        <v>38</v>
      </c>
      <c r="G69" s="95"/>
      <c r="H69" s="92" t="s">
        <v>39</v>
      </c>
      <c r="I69" s="93"/>
      <c r="J69" s="92" t="s">
        <v>40</v>
      </c>
      <c r="K69" s="93"/>
    </row>
    <row r="70" spans="1:11" ht="15.75">
      <c r="A70" s="96">
        <v>19</v>
      </c>
      <c r="B70" s="26">
        <f>A70*B28</f>
        <v>225.15000000000003</v>
      </c>
      <c r="C70" s="27"/>
      <c r="D70" s="90" t="s">
        <v>10</v>
      </c>
      <c r="E70" s="74"/>
      <c r="F70" s="73">
        <f>A70*F28</f>
        <v>230.9230769230769</v>
      </c>
      <c r="G70" s="74"/>
      <c r="H70" s="73" t="s">
        <v>10</v>
      </c>
      <c r="I70" s="74"/>
      <c r="J70" s="79" t="s">
        <v>10</v>
      </c>
      <c r="K70" s="80"/>
    </row>
    <row r="71" spans="1:11" ht="16.5" thickBot="1">
      <c r="A71" s="97"/>
      <c r="B71" s="88" t="s">
        <v>10</v>
      </c>
      <c r="C71" s="89"/>
      <c r="D71" s="91" t="s">
        <v>10</v>
      </c>
      <c r="E71" s="76"/>
      <c r="F71" s="75" t="s">
        <v>10</v>
      </c>
      <c r="G71" s="76"/>
      <c r="H71" s="75" t="s">
        <v>10</v>
      </c>
      <c r="I71" s="76"/>
      <c r="J71" s="81" t="s">
        <v>10</v>
      </c>
      <c r="K71" s="82"/>
    </row>
    <row r="72" spans="1:11" ht="15.75">
      <c r="A72" s="96">
        <v>17</v>
      </c>
      <c r="B72" s="73">
        <f>A72*B30</f>
        <v>1389.75</v>
      </c>
      <c r="C72" s="74"/>
      <c r="D72" s="73">
        <f>A72*D30</f>
        <v>1544.1666666666667</v>
      </c>
      <c r="E72" s="74"/>
      <c r="F72" s="73">
        <f>A72*F30</f>
        <v>1853</v>
      </c>
      <c r="G72" s="74"/>
      <c r="H72" s="73">
        <f>A72*H30</f>
        <v>231.625</v>
      </c>
      <c r="I72" s="74"/>
      <c r="J72" s="79">
        <f>A72*K30</f>
        <v>258.7337037037037</v>
      </c>
      <c r="K72" s="80"/>
    </row>
    <row r="73" spans="1:11" ht="16.5" thickBot="1">
      <c r="A73" s="97"/>
      <c r="B73" s="75">
        <f>A72*B31</f>
        <v>1111.8000000000002</v>
      </c>
      <c r="C73" s="76"/>
      <c r="D73" s="75">
        <f>A72*D31</f>
        <v>1853</v>
      </c>
      <c r="E73" s="76"/>
      <c r="F73" s="75">
        <f>A72*F31</f>
        <v>1482.4</v>
      </c>
      <c r="G73" s="76"/>
      <c r="H73" s="75">
        <f>A72*H31</f>
        <v>370.6</v>
      </c>
      <c r="I73" s="76"/>
      <c r="J73" s="81">
        <f>A72*K31</f>
        <v>259.42</v>
      </c>
      <c r="K73" s="82"/>
    </row>
    <row r="74" spans="1:11" ht="15.75">
      <c r="A74" s="96">
        <v>19</v>
      </c>
      <c r="B74" s="73">
        <f>A74*B32</f>
        <v>763.8000000000001</v>
      </c>
      <c r="C74" s="74"/>
      <c r="D74" s="73">
        <f>A74*D32</f>
        <v>374.4117647058824</v>
      </c>
      <c r="E74" s="74"/>
      <c r="F74" s="73">
        <f>A74*F32</f>
        <v>1018.4</v>
      </c>
      <c r="G74" s="74"/>
      <c r="H74" s="73">
        <f>A74*H32</f>
        <v>149.76470588235296</v>
      </c>
      <c r="I74" s="74"/>
      <c r="J74" s="79">
        <f>A74*K32</f>
        <v>193.19647058823531</v>
      </c>
      <c r="K74" s="80"/>
    </row>
    <row r="75" spans="1:11" ht="16.5" thickBot="1">
      <c r="A75" s="97"/>
      <c r="B75" s="75">
        <f>A74*B33</f>
        <v>224.64705882352942</v>
      </c>
      <c r="C75" s="76"/>
      <c r="D75" s="75">
        <f>A74*D33</f>
        <v>374.4117647058824</v>
      </c>
      <c r="E75" s="76"/>
      <c r="F75" s="75">
        <f>A74*F33</f>
        <v>299.5294117647059</v>
      </c>
      <c r="G75" s="76"/>
      <c r="H75" s="75">
        <f>A74*H33</f>
        <v>149.76470588235296</v>
      </c>
      <c r="I75" s="76"/>
      <c r="J75" s="81">
        <f>A74*K33</f>
        <v>193.19647058823531</v>
      </c>
      <c r="K75" s="82"/>
    </row>
    <row r="76" spans="1:11" ht="15.75">
      <c r="A76" s="96">
        <v>16</v>
      </c>
      <c r="B76" s="73">
        <f>A76*B34</f>
        <v>774.8571428571429</v>
      </c>
      <c r="C76" s="74"/>
      <c r="D76" s="73">
        <f>A76*D34</f>
        <v>1004.4444444444445</v>
      </c>
      <c r="E76" s="74"/>
      <c r="F76" s="73">
        <f>A76*F34</f>
        <v>1033.142857142857</v>
      </c>
      <c r="G76" s="74"/>
      <c r="H76" s="73">
        <f>A76*H34</f>
        <v>129.14285714285714</v>
      </c>
      <c r="I76" s="74"/>
      <c r="J76" s="79">
        <f>A76*K34</f>
        <v>227.29142857142855</v>
      </c>
      <c r="K76" s="80"/>
    </row>
    <row r="77" spans="1:11" ht="16.5" thickBot="1">
      <c r="A77" s="97"/>
      <c r="B77" s="75">
        <f>A76*B35</f>
        <v>602.6666666666666</v>
      </c>
      <c r="C77" s="76"/>
      <c r="D77" s="75">
        <f>A76*D35</f>
        <v>1004.4444444444445</v>
      </c>
      <c r="E77" s="76"/>
      <c r="F77" s="75">
        <f>A76*F35</f>
        <v>803.5555555555555</v>
      </c>
      <c r="G77" s="76"/>
      <c r="H77" s="75">
        <f>A76*H35</f>
        <v>190.31578947368422</v>
      </c>
      <c r="I77" s="76"/>
      <c r="J77" s="81">
        <f>A76*K35</f>
        <v>247.3085714285714</v>
      </c>
      <c r="K77" s="82"/>
    </row>
    <row r="78" spans="1:11" ht="15.75">
      <c r="A78" s="96">
        <v>18</v>
      </c>
      <c r="B78" s="73">
        <f>A78*B36</f>
        <v>981</v>
      </c>
      <c r="C78" s="74"/>
      <c r="D78" s="73">
        <f>A78*D36</f>
        <v>891.8181818181818</v>
      </c>
      <c r="E78" s="74"/>
      <c r="F78" s="73">
        <f>A78*F36</f>
        <v>1308</v>
      </c>
      <c r="G78" s="74"/>
      <c r="H78" s="73">
        <f>A78*H36</f>
        <v>245.25</v>
      </c>
      <c r="I78" s="74"/>
      <c r="J78" s="79">
        <f>A78*K36</f>
        <v>314.8118181818182</v>
      </c>
      <c r="K78" s="80"/>
    </row>
    <row r="79" spans="1:11" ht="16.5" thickBot="1">
      <c r="A79" s="97"/>
      <c r="B79" s="75">
        <f>A78*B37</f>
        <v>735.75</v>
      </c>
      <c r="C79" s="76"/>
      <c r="D79" s="75">
        <f>A78*D37</f>
        <v>1226.25</v>
      </c>
      <c r="E79" s="76"/>
      <c r="F79" s="75">
        <f>A78*F37</f>
        <v>981</v>
      </c>
      <c r="G79" s="76"/>
      <c r="H79" s="75">
        <f>A78*H37</f>
        <v>218</v>
      </c>
      <c r="I79" s="76"/>
      <c r="J79" s="81">
        <f>A78*K37</f>
        <v>316.5954545454545</v>
      </c>
      <c r="K79" s="82"/>
    </row>
    <row r="80" spans="1:11" ht="15.75">
      <c r="A80" s="96">
        <v>19</v>
      </c>
      <c r="B80" s="73">
        <f>A80*B38</f>
        <v>222.29999999999998</v>
      </c>
      <c r="C80" s="74"/>
      <c r="D80" s="73" t="s">
        <v>10</v>
      </c>
      <c r="E80" s="74"/>
      <c r="F80" s="73">
        <f>A80*F38</f>
        <v>296.4</v>
      </c>
      <c r="G80" s="74"/>
      <c r="H80" s="73" t="s">
        <v>10</v>
      </c>
      <c r="I80" s="74"/>
      <c r="J80" s="79" t="s">
        <v>10</v>
      </c>
      <c r="K80" s="80"/>
    </row>
    <row r="81" spans="1:11" ht="16.5" thickBot="1">
      <c r="A81" s="97"/>
      <c r="B81" s="75" t="s">
        <v>10</v>
      </c>
      <c r="C81" s="76"/>
      <c r="D81" s="75" t="s">
        <v>10</v>
      </c>
      <c r="E81" s="76"/>
      <c r="F81" s="75" t="s">
        <v>10</v>
      </c>
      <c r="G81" s="76"/>
      <c r="H81" s="75" t="s">
        <v>10</v>
      </c>
      <c r="I81" s="76"/>
      <c r="J81" s="81" t="s">
        <v>10</v>
      </c>
      <c r="K81" s="82"/>
    </row>
    <row r="82" spans="1:11" ht="15.75">
      <c r="A82" s="96">
        <v>18</v>
      </c>
      <c r="B82" s="73">
        <f>A82*B40</f>
        <v>211.84615384615384</v>
      </c>
      <c r="C82" s="74"/>
      <c r="D82" s="73" t="s">
        <v>10</v>
      </c>
      <c r="E82" s="74"/>
      <c r="F82" s="73">
        <f>A82*F40</f>
        <v>282.46153846153845</v>
      </c>
      <c r="G82" s="74"/>
      <c r="H82" s="73" t="s">
        <v>10</v>
      </c>
      <c r="I82" s="74"/>
      <c r="J82" s="79" t="s">
        <v>10</v>
      </c>
      <c r="K82" s="80"/>
    </row>
    <row r="83" spans="1:11" ht="16.5" thickBot="1">
      <c r="A83" s="97"/>
      <c r="B83" s="75" t="s">
        <v>10</v>
      </c>
      <c r="C83" s="76"/>
      <c r="D83" s="75" t="s">
        <v>10</v>
      </c>
      <c r="E83" s="76"/>
      <c r="F83" s="75" t="s">
        <v>10</v>
      </c>
      <c r="G83" s="76"/>
      <c r="H83" s="75" t="s">
        <v>10</v>
      </c>
      <c r="I83" s="76"/>
      <c r="J83" s="81" t="s">
        <v>10</v>
      </c>
      <c r="K83" s="82"/>
    </row>
    <row r="84" spans="1:11" ht="15.75">
      <c r="A84" s="96">
        <v>17</v>
      </c>
      <c r="B84" s="73">
        <f>A84*B42</f>
        <v>154.75862068965515</v>
      </c>
      <c r="C84" s="74"/>
      <c r="D84" s="73">
        <f>A84*D42</f>
        <v>257.9310344827586</v>
      </c>
      <c r="E84" s="74"/>
      <c r="F84" s="73">
        <f>A84*F42</f>
        <v>206.3448275862069</v>
      </c>
      <c r="G84" s="74"/>
      <c r="H84" s="73">
        <f>A84*H42</f>
        <v>103.17241379310344</v>
      </c>
      <c r="I84" s="74"/>
      <c r="J84" s="79" t="s">
        <v>10</v>
      </c>
      <c r="K84" s="80"/>
    </row>
    <row r="85" spans="1:11" ht="16.5" thickBot="1">
      <c r="A85" s="97"/>
      <c r="B85" s="75">
        <f>A84*B43</f>
        <v>102</v>
      </c>
      <c r="C85" s="76"/>
      <c r="D85" s="75">
        <f>A84*D43</f>
        <v>170</v>
      </c>
      <c r="E85" s="76"/>
      <c r="F85" s="75">
        <f>A84*F43</f>
        <v>136</v>
      </c>
      <c r="G85" s="76"/>
      <c r="H85" s="75" t="s">
        <v>10</v>
      </c>
      <c r="I85" s="76"/>
      <c r="J85" s="81" t="s">
        <v>10</v>
      </c>
      <c r="K85" s="82"/>
    </row>
    <row r="86" spans="1:11" ht="15.75">
      <c r="A86" s="96">
        <v>17</v>
      </c>
      <c r="B86" s="73">
        <f>A86*B44</f>
        <v>155.3181818181818</v>
      </c>
      <c r="C86" s="74"/>
      <c r="D86" s="73">
        <f>A86*D44</f>
        <v>258.8636363636364</v>
      </c>
      <c r="E86" s="74"/>
      <c r="F86" s="73">
        <f>A86*F44</f>
        <v>134</v>
      </c>
      <c r="G86" s="74"/>
      <c r="H86" s="73">
        <f>A86*H44</f>
        <v>67</v>
      </c>
      <c r="I86" s="74"/>
      <c r="J86" s="79" t="s">
        <v>10</v>
      </c>
      <c r="K86" s="80"/>
    </row>
    <row r="87" spans="1:11" ht="16.5" thickBot="1">
      <c r="A87" s="97"/>
      <c r="B87" s="75">
        <f>A86*B45</f>
        <v>155.3181818181818</v>
      </c>
      <c r="C87" s="76"/>
      <c r="D87" s="75">
        <f>A86*D45</f>
        <v>258.8636363636364</v>
      </c>
      <c r="E87" s="76"/>
      <c r="F87" s="75">
        <f>A86*F45</f>
        <v>207.0909090909091</v>
      </c>
      <c r="G87" s="76"/>
      <c r="H87" s="75">
        <f>A86*H45</f>
        <v>67</v>
      </c>
      <c r="I87" s="76"/>
      <c r="J87" s="81" t="s">
        <v>10</v>
      </c>
      <c r="K87" s="82"/>
    </row>
    <row r="88" spans="3:13" ht="15.75">
      <c r="C88" s="4">
        <f>B70+B72+B74+B76+B78+B80+B82+B84+B86</f>
        <v>4878.780099211134</v>
      </c>
      <c r="E88" s="4">
        <f>D72+D74+D76+D78+D84+D86</f>
        <v>4331.63572848157</v>
      </c>
      <c r="G88" s="4">
        <f>F70+F72+F74+F76+F78+F80+F82+F84+F86</f>
        <v>6362.672300113679</v>
      </c>
      <c r="I88" s="4">
        <f>H72+H74+H76+H78+H84+H86</f>
        <v>925.9549768183135</v>
      </c>
      <c r="K88" s="53">
        <f>J72+J74+J76+J78</f>
        <v>994.0334210451858</v>
      </c>
      <c r="L88" s="2" t="s">
        <v>42</v>
      </c>
      <c r="M88" s="9">
        <f>C88+E88+G88+I88+K88</f>
        <v>17493.076525669883</v>
      </c>
    </row>
    <row r="89" spans="3:13" ht="15.75">
      <c r="C89" s="4">
        <f>B73+B75+B77+B79+B85+B87</f>
        <v>2932.1819073083784</v>
      </c>
      <c r="E89" s="4">
        <f>D73+D75+D77+D79+D85+D87</f>
        <v>4886.969845513962</v>
      </c>
      <c r="G89" s="4">
        <f>F73+F75+F77+F79+F85+F87</f>
        <v>3909.5758764111706</v>
      </c>
      <c r="I89" s="4">
        <f>H73+H75+H77+H79+H87</f>
        <v>995.6804953560372</v>
      </c>
      <c r="K89" s="53">
        <f>J73+J75+J77+J79</f>
        <v>1016.5204965622613</v>
      </c>
      <c r="L89" s="2" t="s">
        <v>43</v>
      </c>
      <c r="M89" s="9">
        <f>C89+E89+G89+I89+K89</f>
        <v>13740.92862115181</v>
      </c>
    </row>
    <row r="92" spans="1:3" ht="15.75">
      <c r="A92" s="2" t="s">
        <v>41</v>
      </c>
      <c r="B92" s="5">
        <f>M88/M48</f>
        <v>188.47751495339224</v>
      </c>
      <c r="C92" s="1" t="s">
        <v>241</v>
      </c>
    </row>
    <row r="93" spans="1:3" ht="15.75">
      <c r="A93" s="2" t="s">
        <v>44</v>
      </c>
      <c r="B93" s="5">
        <f>M89/M49</f>
        <v>241.20778026981785</v>
      </c>
      <c r="C93" s="1" t="s">
        <v>241</v>
      </c>
    </row>
    <row r="94" spans="1:3" ht="15.75">
      <c r="A94" s="2" t="s">
        <v>45</v>
      </c>
      <c r="B94" s="5">
        <f>(B92*P46+B93*P47)/365</f>
        <v>205.17413750241434</v>
      </c>
      <c r="C94" s="1" t="s">
        <v>241</v>
      </c>
    </row>
    <row r="95" ht="15.75">
      <c r="C95" s="54"/>
    </row>
    <row r="97" ht="15.75">
      <c r="B97" s="1" t="s">
        <v>90</v>
      </c>
    </row>
    <row r="99" spans="1:3" ht="15.75">
      <c r="A99" s="2" t="s">
        <v>46</v>
      </c>
      <c r="B99" s="9">
        <f>M88*P46+M89*P47</f>
        <v>5982225.443089153</v>
      </c>
      <c r="C99" s="1" t="s">
        <v>242</v>
      </c>
    </row>
    <row r="100" spans="1:3" ht="15.75">
      <c r="A100" s="2" t="s">
        <v>47</v>
      </c>
      <c r="B100" s="3">
        <f>CEILING(B99/F57,1)</f>
        <v>51131</v>
      </c>
      <c r="C100" s="1" t="s">
        <v>241</v>
      </c>
    </row>
    <row r="101" ht="15.75">
      <c r="C101" s="54"/>
    </row>
    <row r="104" ht="15.75">
      <c r="A104" s="1">
        <v>2</v>
      </c>
    </row>
    <row r="105" spans="2:9" ht="15.75">
      <c r="B105" s="1" t="s">
        <v>91</v>
      </c>
      <c r="G105" s="2" t="s">
        <v>48</v>
      </c>
      <c r="H105" s="2" t="s">
        <v>49</v>
      </c>
      <c r="I105" s="2" t="s">
        <v>70</v>
      </c>
    </row>
    <row r="106" spans="7:9" ht="15.75">
      <c r="G106" s="28">
        <v>600000</v>
      </c>
      <c r="H106" s="2">
        <f>G106</f>
        <v>600000</v>
      </c>
      <c r="I106" s="2">
        <v>117</v>
      </c>
    </row>
    <row r="107" spans="1:2" ht="15.75">
      <c r="A107" s="8"/>
      <c r="B107" s="10"/>
    </row>
    <row r="108" spans="1:2" ht="15.75">
      <c r="A108" s="8"/>
      <c r="B108" s="8"/>
    </row>
    <row r="109" spans="1:2" ht="15.75">
      <c r="A109" s="2" t="s">
        <v>50</v>
      </c>
      <c r="B109" s="2">
        <v>1</v>
      </c>
    </row>
    <row r="110" spans="1:2" ht="15.75">
      <c r="A110" s="2" t="s">
        <v>51</v>
      </c>
      <c r="B110" s="3">
        <v>1</v>
      </c>
    </row>
    <row r="111" spans="1:3" ht="15.75">
      <c r="A111" s="2" t="s">
        <v>52</v>
      </c>
      <c r="B111" s="2">
        <v>1</v>
      </c>
      <c r="C111" s="2">
        <v>1.25</v>
      </c>
    </row>
    <row r="112" spans="1:2" ht="15.75">
      <c r="A112" s="2" t="s">
        <v>53</v>
      </c>
      <c r="B112" s="2">
        <v>1</v>
      </c>
    </row>
    <row r="113" spans="1:2" ht="15.75">
      <c r="A113" s="2" t="s">
        <v>54</v>
      </c>
      <c r="B113" s="2">
        <v>1.05</v>
      </c>
    </row>
    <row r="116" spans="1:9" ht="33" customHeight="1">
      <c r="A116" s="70" t="s">
        <v>55</v>
      </c>
      <c r="B116" s="70" t="s">
        <v>56</v>
      </c>
      <c r="C116" s="70" t="s">
        <v>59</v>
      </c>
      <c r="D116" s="69" t="s">
        <v>57</v>
      </c>
      <c r="E116" s="69"/>
      <c r="F116" s="69"/>
      <c r="G116" s="69"/>
      <c r="H116" s="69"/>
      <c r="I116" s="72" t="s">
        <v>58</v>
      </c>
    </row>
    <row r="117" spans="1:9" ht="15.75">
      <c r="A117" s="71"/>
      <c r="B117" s="69"/>
      <c r="C117" s="69"/>
      <c r="D117" s="2" t="s">
        <v>50</v>
      </c>
      <c r="E117" s="2" t="s">
        <v>51</v>
      </c>
      <c r="F117" s="2" t="s">
        <v>52</v>
      </c>
      <c r="G117" s="2" t="s">
        <v>53</v>
      </c>
      <c r="H117" s="2" t="s">
        <v>54</v>
      </c>
      <c r="I117" s="72"/>
    </row>
    <row r="118" spans="1:9" ht="15.75">
      <c r="A118" s="2">
        <v>200</v>
      </c>
      <c r="B118" s="2" t="s">
        <v>60</v>
      </c>
      <c r="C118" s="2">
        <v>10.1</v>
      </c>
      <c r="D118" s="2">
        <v>1</v>
      </c>
      <c r="E118" s="2">
        <v>1</v>
      </c>
      <c r="F118" s="2">
        <v>1.25</v>
      </c>
      <c r="G118" s="2">
        <v>1</v>
      </c>
      <c r="H118" s="2">
        <v>1.05</v>
      </c>
      <c r="I118" s="9">
        <f>C118*D118*E118*F118*G118*H118</f>
        <v>13.256250000000001</v>
      </c>
    </row>
    <row r="119" spans="1:9" ht="15.75">
      <c r="A119" s="2">
        <v>202.5</v>
      </c>
      <c r="B119" s="2" t="s">
        <v>60</v>
      </c>
      <c r="C119" s="2">
        <v>10.1</v>
      </c>
      <c r="D119" s="2">
        <v>1</v>
      </c>
      <c r="E119" s="2">
        <v>1</v>
      </c>
      <c r="F119" s="2">
        <v>1.25</v>
      </c>
      <c r="G119" s="2">
        <v>1</v>
      </c>
      <c r="H119" s="2">
        <v>1.05</v>
      </c>
      <c r="I119" s="9">
        <f aca="true" t="shared" si="11" ref="I119:I137">C119*D119*E119*F119*G119*H119</f>
        <v>13.256250000000001</v>
      </c>
    </row>
    <row r="120" spans="1:9" ht="15.75">
      <c r="A120" s="2">
        <v>205</v>
      </c>
      <c r="B120" s="2" t="s">
        <v>61</v>
      </c>
      <c r="C120" s="2">
        <v>32.6</v>
      </c>
      <c r="D120" s="2">
        <v>1</v>
      </c>
      <c r="E120" s="2">
        <v>1</v>
      </c>
      <c r="F120" s="2">
        <v>1.25</v>
      </c>
      <c r="G120" s="2">
        <v>1</v>
      </c>
      <c r="H120" s="2">
        <v>1.05</v>
      </c>
      <c r="I120" s="9">
        <f t="shared" si="11"/>
        <v>42.7875</v>
      </c>
    </row>
    <row r="121" spans="1:9" ht="15.75">
      <c r="A121" s="2">
        <v>207.5</v>
      </c>
      <c r="B121" s="2" t="s">
        <v>60</v>
      </c>
      <c r="C121" s="2">
        <v>10.1</v>
      </c>
      <c r="D121" s="2">
        <v>1</v>
      </c>
      <c r="E121" s="2">
        <v>1</v>
      </c>
      <c r="F121" s="2">
        <v>1.25</v>
      </c>
      <c r="G121" s="2">
        <v>1</v>
      </c>
      <c r="H121" s="2">
        <v>1.05</v>
      </c>
      <c r="I121" s="9">
        <f t="shared" si="11"/>
        <v>13.256250000000001</v>
      </c>
    </row>
    <row r="122" spans="1:9" ht="15.75">
      <c r="A122" s="2">
        <v>210</v>
      </c>
      <c r="B122" s="2" t="s">
        <v>60</v>
      </c>
      <c r="C122" s="2">
        <v>10.1</v>
      </c>
      <c r="D122" s="2">
        <v>1</v>
      </c>
      <c r="E122" s="2">
        <v>1</v>
      </c>
      <c r="F122" s="2">
        <v>1.25</v>
      </c>
      <c r="G122" s="2">
        <v>1</v>
      </c>
      <c r="H122" s="2">
        <v>1.05</v>
      </c>
      <c r="I122" s="9">
        <f t="shared" si="11"/>
        <v>13.256250000000001</v>
      </c>
    </row>
    <row r="123" spans="1:9" ht="15.75">
      <c r="A123" s="2">
        <v>212.5</v>
      </c>
      <c r="B123" s="2" t="s">
        <v>60</v>
      </c>
      <c r="C123" s="2">
        <v>10.1</v>
      </c>
      <c r="D123" s="2">
        <v>1</v>
      </c>
      <c r="E123" s="2">
        <v>1</v>
      </c>
      <c r="F123" s="2">
        <v>1.25</v>
      </c>
      <c r="G123" s="2">
        <v>1</v>
      </c>
      <c r="H123" s="2">
        <v>1.05</v>
      </c>
      <c r="I123" s="9">
        <f t="shared" si="11"/>
        <v>13.256250000000001</v>
      </c>
    </row>
    <row r="124" spans="1:9" ht="15.75">
      <c r="A124" s="2">
        <v>215</v>
      </c>
      <c r="B124" s="2" t="s">
        <v>62</v>
      </c>
      <c r="C124" s="2">
        <v>39.12</v>
      </c>
      <c r="D124" s="2">
        <v>1</v>
      </c>
      <c r="E124" s="2">
        <v>1</v>
      </c>
      <c r="F124" s="2">
        <v>1</v>
      </c>
      <c r="G124" s="2">
        <v>1</v>
      </c>
      <c r="H124" s="2">
        <v>1.05</v>
      </c>
      <c r="I124" s="9">
        <f t="shared" si="11"/>
        <v>41.076</v>
      </c>
    </row>
    <row r="125" spans="1:9" ht="15.75">
      <c r="A125" s="2">
        <v>217.5</v>
      </c>
      <c r="B125" s="2" t="s">
        <v>60</v>
      </c>
      <c r="C125" s="2">
        <v>10.1</v>
      </c>
      <c r="D125" s="2">
        <v>1</v>
      </c>
      <c r="E125" s="2">
        <v>1</v>
      </c>
      <c r="F125" s="2">
        <v>1</v>
      </c>
      <c r="G125" s="2">
        <v>1</v>
      </c>
      <c r="H125" s="2">
        <v>1.05</v>
      </c>
      <c r="I125" s="9">
        <f t="shared" si="11"/>
        <v>10.605</v>
      </c>
    </row>
    <row r="126" spans="1:9" ht="15.75">
      <c r="A126" s="2">
        <v>220</v>
      </c>
      <c r="B126" s="2" t="s">
        <v>60</v>
      </c>
      <c r="C126" s="2">
        <v>10.1</v>
      </c>
      <c r="D126" s="2">
        <v>1</v>
      </c>
      <c r="E126" s="2">
        <v>1</v>
      </c>
      <c r="F126" s="2">
        <v>1</v>
      </c>
      <c r="G126" s="2">
        <v>1</v>
      </c>
      <c r="H126" s="2">
        <v>1.05</v>
      </c>
      <c r="I126" s="9">
        <f>C126*D126*E126*F126*G126*H126</f>
        <v>10.605</v>
      </c>
    </row>
    <row r="127" spans="1:9" ht="15.75">
      <c r="A127" s="2">
        <v>222.5</v>
      </c>
      <c r="B127" s="2" t="s">
        <v>60</v>
      </c>
      <c r="C127" s="2">
        <v>10.1</v>
      </c>
      <c r="D127" s="2">
        <v>1</v>
      </c>
      <c r="E127" s="2">
        <v>1</v>
      </c>
      <c r="F127" s="2">
        <v>1</v>
      </c>
      <c r="G127" s="2">
        <v>1</v>
      </c>
      <c r="H127" s="2">
        <v>1.05</v>
      </c>
      <c r="I127" s="9">
        <f t="shared" si="11"/>
        <v>10.605</v>
      </c>
    </row>
    <row r="128" spans="1:9" ht="15.75">
      <c r="A128" s="2">
        <v>225</v>
      </c>
      <c r="B128" s="2" t="s">
        <v>61</v>
      </c>
      <c r="C128" s="2">
        <v>32.6</v>
      </c>
      <c r="D128" s="2">
        <v>1</v>
      </c>
      <c r="E128" s="2">
        <v>1</v>
      </c>
      <c r="F128" s="2">
        <v>1</v>
      </c>
      <c r="G128" s="2">
        <v>1</v>
      </c>
      <c r="H128" s="2">
        <v>1.05</v>
      </c>
      <c r="I128" s="9">
        <f t="shared" si="11"/>
        <v>34.230000000000004</v>
      </c>
    </row>
    <row r="129" spans="1:9" ht="15.75">
      <c r="A129" s="2">
        <v>227.5</v>
      </c>
      <c r="B129" s="2" t="s">
        <v>60</v>
      </c>
      <c r="C129" s="2">
        <v>10.1</v>
      </c>
      <c r="D129" s="2">
        <v>1</v>
      </c>
      <c r="E129" s="2">
        <v>1</v>
      </c>
      <c r="F129" s="2">
        <v>1</v>
      </c>
      <c r="G129" s="2">
        <v>1</v>
      </c>
      <c r="H129" s="2">
        <v>1.05</v>
      </c>
      <c r="I129" s="9">
        <f t="shared" si="11"/>
        <v>10.605</v>
      </c>
    </row>
    <row r="130" spans="1:9" ht="15.75">
      <c r="A130" s="2">
        <v>230</v>
      </c>
      <c r="B130" s="2" t="s">
        <v>63</v>
      </c>
      <c r="C130" s="2">
        <v>1723</v>
      </c>
      <c r="D130" s="2">
        <v>1</v>
      </c>
      <c r="E130" s="2">
        <v>1</v>
      </c>
      <c r="F130" s="2">
        <v>1</v>
      </c>
      <c r="G130" s="2">
        <v>1</v>
      </c>
      <c r="H130" s="2">
        <v>1.05</v>
      </c>
      <c r="I130" s="5">
        <f t="shared" si="11"/>
        <v>1809.15</v>
      </c>
    </row>
    <row r="131" spans="1:9" ht="15.75">
      <c r="A131" s="2">
        <v>232.5</v>
      </c>
      <c r="B131" s="2" t="s">
        <v>60</v>
      </c>
      <c r="C131" s="2">
        <v>10.1</v>
      </c>
      <c r="D131" s="2">
        <v>1</v>
      </c>
      <c r="E131" s="2">
        <v>1</v>
      </c>
      <c r="F131" s="2">
        <v>1</v>
      </c>
      <c r="G131" s="2">
        <v>1</v>
      </c>
      <c r="H131" s="2">
        <v>1.05</v>
      </c>
      <c r="I131" s="9">
        <f t="shared" si="11"/>
        <v>10.605</v>
      </c>
    </row>
    <row r="132" spans="1:9" ht="15.75">
      <c r="A132" s="2">
        <v>235</v>
      </c>
      <c r="B132" s="2" t="s">
        <v>60</v>
      </c>
      <c r="C132" s="2">
        <v>10.1</v>
      </c>
      <c r="D132" s="2">
        <v>1</v>
      </c>
      <c r="E132" s="2">
        <v>1</v>
      </c>
      <c r="F132" s="2">
        <v>1</v>
      </c>
      <c r="G132" s="2">
        <v>1</v>
      </c>
      <c r="H132" s="2">
        <v>1.05</v>
      </c>
      <c r="I132" s="9">
        <f t="shared" si="11"/>
        <v>10.605</v>
      </c>
    </row>
    <row r="133" spans="1:9" ht="15.75">
      <c r="A133" s="2">
        <v>237.5</v>
      </c>
      <c r="B133" s="2" t="s">
        <v>60</v>
      </c>
      <c r="C133" s="2">
        <v>10.1</v>
      </c>
      <c r="D133" s="2">
        <v>1</v>
      </c>
      <c r="E133" s="2">
        <v>1</v>
      </c>
      <c r="F133" s="2">
        <v>1</v>
      </c>
      <c r="G133" s="2">
        <v>1</v>
      </c>
      <c r="H133" s="2">
        <v>1.05</v>
      </c>
      <c r="I133" s="9">
        <f t="shared" si="11"/>
        <v>10.605</v>
      </c>
    </row>
    <row r="134" spans="1:9" ht="15.75">
      <c r="A134" s="2">
        <v>240</v>
      </c>
      <c r="B134" s="2" t="s">
        <v>64</v>
      </c>
      <c r="C134" s="2">
        <v>42.38</v>
      </c>
      <c r="D134" s="2">
        <v>1</v>
      </c>
      <c r="E134" s="2">
        <v>1</v>
      </c>
      <c r="F134" s="2">
        <v>1.25</v>
      </c>
      <c r="G134" s="2">
        <v>1</v>
      </c>
      <c r="H134" s="2">
        <v>1.05</v>
      </c>
      <c r="I134" s="9">
        <f t="shared" si="11"/>
        <v>55.62375</v>
      </c>
    </row>
    <row r="135" spans="1:9" ht="15.75">
      <c r="A135" s="2">
        <v>242.5</v>
      </c>
      <c r="B135" s="2" t="s">
        <v>60</v>
      </c>
      <c r="C135" s="2">
        <v>10.1</v>
      </c>
      <c r="D135" s="2">
        <v>1</v>
      </c>
      <c r="E135" s="2">
        <v>1</v>
      </c>
      <c r="F135" s="2">
        <v>1.25</v>
      </c>
      <c r="G135" s="2">
        <v>1</v>
      </c>
      <c r="H135" s="2">
        <v>1.05</v>
      </c>
      <c r="I135" s="9">
        <f t="shared" si="11"/>
        <v>13.256250000000001</v>
      </c>
    </row>
    <row r="136" spans="1:9" ht="15.75">
      <c r="A136" s="7">
        <v>245</v>
      </c>
      <c r="B136" s="7" t="s">
        <v>60</v>
      </c>
      <c r="C136" s="2">
        <v>10.1</v>
      </c>
      <c r="D136" s="2">
        <v>1</v>
      </c>
      <c r="E136" s="2">
        <v>1</v>
      </c>
      <c r="F136" s="2">
        <v>1.25</v>
      </c>
      <c r="G136" s="2">
        <v>1</v>
      </c>
      <c r="H136" s="2">
        <v>1.05</v>
      </c>
      <c r="I136" s="9">
        <f t="shared" si="11"/>
        <v>13.256250000000001</v>
      </c>
    </row>
    <row r="137" spans="1:9" ht="15.75">
      <c r="A137" s="2">
        <v>247.5</v>
      </c>
      <c r="B137" s="2" t="s">
        <v>60</v>
      </c>
      <c r="C137" s="2">
        <v>10.1</v>
      </c>
      <c r="D137" s="2">
        <v>1</v>
      </c>
      <c r="E137" s="2">
        <v>1</v>
      </c>
      <c r="F137" s="2">
        <v>1.25</v>
      </c>
      <c r="G137" s="2">
        <v>1</v>
      </c>
      <c r="H137" s="2">
        <v>1.05</v>
      </c>
      <c r="I137" s="9">
        <f t="shared" si="11"/>
        <v>13.256250000000001</v>
      </c>
    </row>
    <row r="138" spans="1:9" ht="15.75">
      <c r="A138" s="8"/>
      <c r="B138" s="8"/>
      <c r="C138" s="8"/>
      <c r="D138" s="8"/>
      <c r="E138" s="8"/>
      <c r="F138" s="8"/>
      <c r="G138" s="8"/>
      <c r="H138" s="8"/>
      <c r="I138" s="8"/>
    </row>
    <row r="140" spans="1:5" ht="37.5" customHeight="1">
      <c r="A140" s="70" t="s">
        <v>65</v>
      </c>
      <c r="B140" s="70" t="s">
        <v>66</v>
      </c>
      <c r="C140" s="70"/>
      <c r="D140" s="70" t="s">
        <v>67</v>
      </c>
      <c r="E140" s="70"/>
    </row>
    <row r="141" spans="1:5" ht="27.75" customHeight="1">
      <c r="A141" s="70"/>
      <c r="B141" s="12" t="s">
        <v>68</v>
      </c>
      <c r="C141" s="12" t="s">
        <v>69</v>
      </c>
      <c r="D141" s="12" t="s">
        <v>68</v>
      </c>
      <c r="E141" s="12" t="s">
        <v>69</v>
      </c>
    </row>
    <row r="142" spans="1:5" ht="15.75">
      <c r="A142" s="2" t="s">
        <v>63</v>
      </c>
      <c r="B142" s="2">
        <v>1</v>
      </c>
      <c r="C142" s="2">
        <f>B142*$I$106</f>
        <v>117</v>
      </c>
      <c r="D142" s="5">
        <f>I130</f>
        <v>1809.15</v>
      </c>
      <c r="E142" s="3">
        <f>D142*$I$106</f>
        <v>211670.55000000002</v>
      </c>
    </row>
    <row r="143" spans="1:5" ht="15.75">
      <c r="A143" s="2" t="s">
        <v>61</v>
      </c>
      <c r="B143" s="2">
        <v>4</v>
      </c>
      <c r="C143" s="2">
        <f>B143*$I$106</f>
        <v>468</v>
      </c>
      <c r="D143" s="5">
        <f>I120+I128+I124+I134</f>
        <v>173.71725</v>
      </c>
      <c r="E143" s="3">
        <f>D143*$I$106</f>
        <v>20324.918250000002</v>
      </c>
    </row>
    <row r="144" spans="1:5" ht="15.75">
      <c r="A144" s="2" t="s">
        <v>60</v>
      </c>
      <c r="B144" s="2">
        <v>15</v>
      </c>
      <c r="C144" s="2">
        <f>B144*$I$106</f>
        <v>1755</v>
      </c>
      <c r="D144" s="5">
        <f>I118+I119+I121+I122+I123+I125+I126+I127+I129+I131+I132+I133+I135+I137+I136</f>
        <v>180.285</v>
      </c>
      <c r="E144" s="3">
        <f>D144*$I$106</f>
        <v>21093.345</v>
      </c>
    </row>
    <row r="149" ht="27" customHeight="1">
      <c r="B149" s="1" t="s">
        <v>93</v>
      </c>
    </row>
    <row r="150" ht="15.75">
      <c r="H150" s="8"/>
    </row>
    <row r="151" spans="1:8" ht="15.75">
      <c r="A151" s="70" t="s">
        <v>65</v>
      </c>
      <c r="B151" s="69" t="s">
        <v>34</v>
      </c>
      <c r="C151" s="70" t="s">
        <v>71</v>
      </c>
      <c r="D151" s="70" t="s">
        <v>72</v>
      </c>
      <c r="E151" s="72" t="s">
        <v>73</v>
      </c>
      <c r="F151" s="72" t="s">
        <v>74</v>
      </c>
      <c r="H151" s="8"/>
    </row>
    <row r="152" spans="1:6" ht="80.25" customHeight="1">
      <c r="A152" s="70"/>
      <c r="B152" s="69"/>
      <c r="C152" s="70"/>
      <c r="D152" s="70"/>
      <c r="E152" s="72"/>
      <c r="F152" s="72"/>
    </row>
    <row r="153" spans="1:6" ht="15.75">
      <c r="A153" s="2" t="s">
        <v>63</v>
      </c>
      <c r="B153" s="2">
        <f>C142</f>
        <v>117</v>
      </c>
      <c r="C153" s="2">
        <v>8</v>
      </c>
      <c r="D153" s="2">
        <f>B153*C153*8</f>
        <v>7488</v>
      </c>
      <c r="E153" s="2">
        <f>B153*C153*24</f>
        <v>22464</v>
      </c>
      <c r="F153" s="3">
        <f>B153*C153*B51</f>
        <v>11087.038076294228</v>
      </c>
    </row>
    <row r="154" spans="1:6" ht="15.75">
      <c r="A154" s="2" t="s">
        <v>61</v>
      </c>
      <c r="B154" s="2">
        <f>C143</f>
        <v>468</v>
      </c>
      <c r="C154" s="2">
        <v>1</v>
      </c>
      <c r="D154" s="2">
        <f>B154*C154*8</f>
        <v>3744</v>
      </c>
      <c r="E154" s="2">
        <f>B154*C154*24</f>
        <v>11232</v>
      </c>
      <c r="F154" s="3">
        <f>B154*C154*B51</f>
        <v>5543.519038147114</v>
      </c>
    </row>
    <row r="155" spans="1:6" ht="15.75">
      <c r="A155" s="2" t="s">
        <v>60</v>
      </c>
      <c r="B155" s="2">
        <f>C144</f>
        <v>1755</v>
      </c>
      <c r="C155" s="2" t="s">
        <v>75</v>
      </c>
      <c r="D155" s="2">
        <f>B155*2</f>
        <v>3510</v>
      </c>
      <c r="E155" s="2">
        <f>B155*2</f>
        <v>3510</v>
      </c>
      <c r="F155" s="3">
        <f>B155*2</f>
        <v>3510</v>
      </c>
    </row>
    <row r="156" spans="5:6" ht="15.75">
      <c r="E156" s="2" t="s">
        <v>76</v>
      </c>
      <c r="F156" s="20">
        <f>SUM(F153:F155)</f>
        <v>20140.55711444134</v>
      </c>
    </row>
    <row r="158" ht="31.5" customHeight="1">
      <c r="B158" s="1" t="s">
        <v>92</v>
      </c>
    </row>
    <row r="159" spans="3:9" ht="15.75">
      <c r="C159" s="2" t="s">
        <v>80</v>
      </c>
      <c r="D159" s="13" t="s">
        <v>81</v>
      </c>
      <c r="E159" s="7"/>
      <c r="F159" s="14" t="s">
        <v>82</v>
      </c>
      <c r="G159" s="2" t="s">
        <v>83</v>
      </c>
      <c r="I159" s="2" t="s">
        <v>85</v>
      </c>
    </row>
    <row r="160" spans="1:9" ht="15.75">
      <c r="A160" s="2" t="s">
        <v>77</v>
      </c>
      <c r="B160" s="15">
        <f>ROUND(F154/(24*P46),2)</f>
        <v>0.91</v>
      </c>
      <c r="C160" s="3">
        <v>0</v>
      </c>
      <c r="D160" s="16">
        <v>1</v>
      </c>
      <c r="E160" s="17"/>
      <c r="F160" s="18">
        <f>254*(0.91-0)</f>
        <v>231.14000000000001</v>
      </c>
      <c r="G160" s="3">
        <f>254*(1-0.91)</f>
        <v>22.859999999999992</v>
      </c>
      <c r="I160" s="2">
        <v>1.1</v>
      </c>
    </row>
    <row r="161" spans="1:7" ht="15.75">
      <c r="A161" s="2" t="s">
        <v>78</v>
      </c>
      <c r="B161" s="29">
        <f>F155/(8*P46)</f>
        <v>1.7273622047244095</v>
      </c>
      <c r="C161" s="2">
        <v>1</v>
      </c>
      <c r="D161" s="13">
        <v>2</v>
      </c>
      <c r="E161" s="17"/>
      <c r="F161" s="18">
        <f>254*(1.7-1)</f>
        <v>177.79999999999998</v>
      </c>
      <c r="G161" s="3">
        <f>254*(2-1.7)</f>
        <v>76.20000000000002</v>
      </c>
    </row>
    <row r="162" spans="1:7" ht="15.75">
      <c r="A162" s="2" t="s">
        <v>79</v>
      </c>
      <c r="B162" s="29">
        <f>F153/(8*P46)</f>
        <v>5.4562195257353485</v>
      </c>
      <c r="C162" s="2">
        <v>5</v>
      </c>
      <c r="D162" s="13">
        <v>6</v>
      </c>
      <c r="E162" s="19"/>
      <c r="F162" s="18">
        <f>254*(5.43-5)</f>
        <v>109.21999999999993</v>
      </c>
      <c r="G162" s="3">
        <f>254*(6-5.43)</f>
        <v>144.7800000000001</v>
      </c>
    </row>
    <row r="164" spans="1:2" ht="15.75">
      <c r="A164" s="2" t="s">
        <v>84</v>
      </c>
      <c r="B164" s="3">
        <f>D160+D161+D162</f>
        <v>9</v>
      </c>
    </row>
    <row r="165" spans="1:2" ht="15.75">
      <c r="A165" s="2" t="s">
        <v>70</v>
      </c>
      <c r="B165" s="3">
        <f>ROUNDUP(I160*M48+B164,0)</f>
        <v>112</v>
      </c>
    </row>
    <row r="168" spans="1:6" ht="50.25" customHeight="1">
      <c r="A168" s="70" t="s">
        <v>56</v>
      </c>
      <c r="B168" s="70" t="s">
        <v>34</v>
      </c>
      <c r="C168" s="70" t="s">
        <v>86</v>
      </c>
      <c r="D168" s="70"/>
      <c r="E168" s="77" t="s">
        <v>87</v>
      </c>
      <c r="F168" s="78"/>
    </row>
    <row r="169" spans="1:6" ht="23.25" customHeight="1">
      <c r="A169" s="70"/>
      <c r="B169" s="70"/>
      <c r="C169" s="11" t="s">
        <v>80</v>
      </c>
      <c r="D169" s="11" t="s">
        <v>81</v>
      </c>
      <c r="E169" s="11" t="s">
        <v>80</v>
      </c>
      <c r="F169" s="11" t="s">
        <v>81</v>
      </c>
    </row>
    <row r="170" spans="1:6" ht="15.75">
      <c r="A170" s="2" t="s">
        <v>63</v>
      </c>
      <c r="B170" s="2">
        <v>115</v>
      </c>
      <c r="C170" s="3">
        <f aca="true" t="shared" si="12" ref="C170:D172">C160</f>
        <v>0</v>
      </c>
      <c r="D170" s="3">
        <f t="shared" si="12"/>
        <v>1</v>
      </c>
      <c r="E170" s="3">
        <f aca="true" t="shared" si="13" ref="E170:F172">F160</f>
        <v>231.14000000000001</v>
      </c>
      <c r="F170" s="3">
        <f t="shared" si="13"/>
        <v>22.859999999999992</v>
      </c>
    </row>
    <row r="171" spans="1:6" ht="15.75">
      <c r="A171" s="2" t="s">
        <v>61</v>
      </c>
      <c r="B171" s="2">
        <v>460</v>
      </c>
      <c r="C171" s="2">
        <f t="shared" si="12"/>
        <v>1</v>
      </c>
      <c r="D171" s="2">
        <f t="shared" si="12"/>
        <v>2</v>
      </c>
      <c r="E171" s="3">
        <f t="shared" si="13"/>
        <v>177.79999999999998</v>
      </c>
      <c r="F171" s="3">
        <f t="shared" si="13"/>
        <v>76.20000000000002</v>
      </c>
    </row>
    <row r="172" spans="1:6" ht="15.75">
      <c r="A172" s="2" t="s">
        <v>60</v>
      </c>
      <c r="B172" s="2">
        <v>1725</v>
      </c>
      <c r="C172" s="2">
        <f t="shared" si="12"/>
        <v>5</v>
      </c>
      <c r="D172" s="2">
        <f t="shared" si="12"/>
        <v>6</v>
      </c>
      <c r="E172" s="3">
        <f t="shared" si="13"/>
        <v>109.21999999999993</v>
      </c>
      <c r="F172" s="3">
        <f t="shared" si="13"/>
        <v>144.7800000000001</v>
      </c>
    </row>
    <row r="175" spans="1:2" ht="15.75">
      <c r="A175" s="1" t="s">
        <v>105</v>
      </c>
      <c r="B175" s="1">
        <f>M48/B165</f>
        <v>0.8286833753274641</v>
      </c>
    </row>
    <row r="176" spans="1:2" ht="15.75">
      <c r="A176" s="1" t="s">
        <v>106</v>
      </c>
      <c r="B176" s="1">
        <f>365*B177*B165</f>
        <v>29954.70955733471</v>
      </c>
    </row>
    <row r="177" spans="1:2" ht="15.75">
      <c r="A177" s="1" t="s">
        <v>107</v>
      </c>
      <c r="B177" s="1">
        <f>(M48*P46+M49*P47)/(365*B165)</f>
        <v>0.7327472983692443</v>
      </c>
    </row>
    <row r="179" ht="15.75">
      <c r="A179" s="1">
        <v>3</v>
      </c>
    </row>
    <row r="180" spans="1:2" ht="15.75">
      <c r="A180" s="1" t="s">
        <v>108</v>
      </c>
      <c r="B180" s="1">
        <v>2.25</v>
      </c>
    </row>
    <row r="181" spans="1:3" ht="15.75">
      <c r="A181" s="1" t="s">
        <v>109</v>
      </c>
      <c r="B181" s="1">
        <f>B180*B165</f>
        <v>252</v>
      </c>
      <c r="C181" s="1" t="s">
        <v>243</v>
      </c>
    </row>
    <row r="182" spans="1:2" ht="15.75">
      <c r="A182" s="1" t="s">
        <v>110</v>
      </c>
      <c r="B182" s="1">
        <v>9</v>
      </c>
    </row>
    <row r="183" spans="1:3" ht="15.75">
      <c r="A183" s="1" t="s">
        <v>111</v>
      </c>
      <c r="B183" s="1">
        <f>B181/B182</f>
        <v>28</v>
      </c>
      <c r="C183" s="1" t="s">
        <v>245</v>
      </c>
    </row>
    <row r="184" spans="1:2" ht="15.75">
      <c r="A184" s="1" t="s">
        <v>112</v>
      </c>
      <c r="B184" s="1">
        <v>8</v>
      </c>
    </row>
    <row r="185" spans="1:3" ht="15.75">
      <c r="A185" s="1" t="s">
        <v>113</v>
      </c>
      <c r="B185" s="1">
        <f>ROUNDUP(B183/B184,0)</f>
        <v>4</v>
      </c>
      <c r="C185" s="1" t="s">
        <v>244</v>
      </c>
    </row>
    <row r="188" spans="1:16" ht="15.75">
      <c r="A188" s="68" t="s">
        <v>114</v>
      </c>
      <c r="B188" s="68"/>
      <c r="C188" s="68">
        <v>1</v>
      </c>
      <c r="D188" s="68"/>
      <c r="E188" s="68">
        <v>2</v>
      </c>
      <c r="F188" s="68"/>
      <c r="G188" s="68">
        <v>3</v>
      </c>
      <c r="H188" s="68"/>
      <c r="I188" s="68">
        <v>4</v>
      </c>
      <c r="J188" s="68"/>
      <c r="K188" s="68">
        <v>5</v>
      </c>
      <c r="L188" s="68"/>
      <c r="M188" s="68">
        <v>6</v>
      </c>
      <c r="N188" s="68"/>
      <c r="O188" s="68">
        <v>7</v>
      </c>
      <c r="P188" s="68"/>
    </row>
    <row r="189" spans="1:16" ht="15.75">
      <c r="A189" s="68" t="s">
        <v>115</v>
      </c>
      <c r="B189" s="68"/>
      <c r="C189" s="55">
        <v>0.3333333333333333</v>
      </c>
      <c r="D189" s="55">
        <v>0.7916666666666666</v>
      </c>
      <c r="E189" s="55">
        <v>0.3333333333333333</v>
      </c>
      <c r="F189" s="55">
        <v>0.7916666666666666</v>
      </c>
      <c r="G189" s="55">
        <v>0.3333333333333333</v>
      </c>
      <c r="H189" s="55">
        <v>0.7916666666666666</v>
      </c>
      <c r="I189" s="55">
        <v>0.3333333333333333</v>
      </c>
      <c r="J189" s="55">
        <v>0.7916666666666666</v>
      </c>
      <c r="K189" s="55">
        <v>0.3333333333333333</v>
      </c>
      <c r="L189" s="55">
        <v>0.7916666666666666</v>
      </c>
      <c r="M189" s="55">
        <v>0.3333333333333333</v>
      </c>
      <c r="N189" s="55">
        <v>0.7916666666666666</v>
      </c>
      <c r="O189" s="55">
        <v>0.3333333333333333</v>
      </c>
      <c r="P189" s="55">
        <v>0.7916666666666666</v>
      </c>
    </row>
    <row r="190" spans="1:16" ht="15.75">
      <c r="A190" s="69" t="s">
        <v>116</v>
      </c>
      <c r="B190" s="2">
        <v>1</v>
      </c>
      <c r="C190" s="2"/>
      <c r="D190" s="2"/>
      <c r="E190" s="115" t="s">
        <v>117</v>
      </c>
      <c r="F190" s="2"/>
      <c r="G190" s="2"/>
      <c r="H190" s="115" t="s">
        <v>118</v>
      </c>
      <c r="I190" s="2"/>
      <c r="J190" s="2"/>
      <c r="K190" s="2"/>
      <c r="L190" s="115" t="s">
        <v>118</v>
      </c>
      <c r="M190" s="2"/>
      <c r="N190" s="2"/>
      <c r="O190" s="2"/>
      <c r="P190" s="115" t="s">
        <v>118</v>
      </c>
    </row>
    <row r="191" spans="1:16" ht="15.75">
      <c r="A191" s="69"/>
      <c r="B191" s="2">
        <v>2</v>
      </c>
      <c r="C191" s="115" t="s">
        <v>117</v>
      </c>
      <c r="D191" s="2"/>
      <c r="E191" s="2"/>
      <c r="F191" s="115" t="s">
        <v>118</v>
      </c>
      <c r="G191" s="2"/>
      <c r="H191" s="2"/>
      <c r="I191" s="2"/>
      <c r="J191" s="115" t="s">
        <v>118</v>
      </c>
      <c r="K191" s="2"/>
      <c r="L191" s="2"/>
      <c r="M191" s="2"/>
      <c r="N191" s="115" t="s">
        <v>118</v>
      </c>
      <c r="O191" s="2"/>
      <c r="P191" s="2"/>
    </row>
    <row r="192" spans="1:16" ht="15.75">
      <c r="A192" s="69"/>
      <c r="B192" s="2">
        <v>3</v>
      </c>
      <c r="C192" s="2"/>
      <c r="D192" s="2"/>
      <c r="E192" s="2"/>
      <c r="F192" s="115" t="s">
        <v>118</v>
      </c>
      <c r="G192" s="2"/>
      <c r="H192" s="2"/>
      <c r="I192" s="115" t="s">
        <v>117</v>
      </c>
      <c r="J192" s="2"/>
      <c r="K192" s="2"/>
      <c r="L192" s="115" t="s">
        <v>118</v>
      </c>
      <c r="M192" s="2"/>
      <c r="N192" s="2"/>
      <c r="O192" s="2"/>
      <c r="P192" s="115" t="s">
        <v>118</v>
      </c>
    </row>
    <row r="193" spans="1:16" ht="15.75">
      <c r="A193" s="69"/>
      <c r="B193" s="2">
        <v>4</v>
      </c>
      <c r="C193" s="2"/>
      <c r="D193" s="115" t="s">
        <v>118</v>
      </c>
      <c r="E193" s="2"/>
      <c r="F193" s="2"/>
      <c r="G193" s="115" t="s">
        <v>117</v>
      </c>
      <c r="H193" s="2"/>
      <c r="I193" s="116"/>
      <c r="J193" s="115" t="s">
        <v>118</v>
      </c>
      <c r="K193" s="2"/>
      <c r="L193" s="2"/>
      <c r="M193" s="2"/>
      <c r="N193" s="115" t="s">
        <v>118</v>
      </c>
      <c r="O193" s="2"/>
      <c r="P193" s="2"/>
    </row>
    <row r="196" ht="15.75">
      <c r="A196" s="1" t="s">
        <v>119</v>
      </c>
    </row>
    <row r="199" ht="15.75">
      <c r="A199" s="1">
        <v>5</v>
      </c>
    </row>
    <row r="200" ht="15.75">
      <c r="A200" s="56">
        <v>5.1</v>
      </c>
    </row>
    <row r="201" spans="1:2" ht="15.75">
      <c r="A201" s="1" t="s">
        <v>120</v>
      </c>
      <c r="B201" s="1">
        <v>1.7</v>
      </c>
    </row>
    <row r="202" spans="1:3" ht="15.75">
      <c r="A202" s="1" t="s">
        <v>121</v>
      </c>
      <c r="B202" s="53">
        <f>ROUNDUP(B165*B177*B201,0)</f>
        <v>140</v>
      </c>
      <c r="C202" s="1" t="s">
        <v>245</v>
      </c>
    </row>
    <row r="203" spans="1:3" ht="15.75">
      <c r="A203" s="1" t="s">
        <v>122</v>
      </c>
      <c r="B203" s="1">
        <v>24</v>
      </c>
      <c r="C203" s="1" t="s">
        <v>246</v>
      </c>
    </row>
    <row r="204" spans="1:2" ht="15.75">
      <c r="A204" s="1" t="s">
        <v>123</v>
      </c>
      <c r="B204" s="1">
        <v>1.04</v>
      </c>
    </row>
    <row r="205" spans="1:2" ht="15.75">
      <c r="A205" s="1" t="s">
        <v>124</v>
      </c>
      <c r="B205" s="53">
        <f>(1+B203/365)*B204</f>
        <v>1.1083835616438356</v>
      </c>
    </row>
    <row r="206" spans="1:3" ht="15.75">
      <c r="A206" s="1" t="s">
        <v>125</v>
      </c>
      <c r="B206" s="1">
        <f>ROUNDUP(B202*B205,0)</f>
        <v>156</v>
      </c>
      <c r="C206" s="1" t="s">
        <v>245</v>
      </c>
    </row>
    <row r="207" spans="1:2" ht="15.75">
      <c r="A207" s="1" t="s">
        <v>126</v>
      </c>
      <c r="B207" s="1">
        <f>ROUNDUP(B206/50,0)</f>
        <v>4</v>
      </c>
    </row>
    <row r="208" ht="15.75">
      <c r="F208" s="1">
        <v>5.3</v>
      </c>
    </row>
    <row r="209" ht="15.75">
      <c r="A209" s="1">
        <v>5.2</v>
      </c>
    </row>
    <row r="210" spans="1:3" ht="15.75">
      <c r="A210" s="1" t="s">
        <v>127</v>
      </c>
      <c r="B210" s="1">
        <f>B177/0.7</f>
        <v>1.0467818548132062</v>
      </c>
      <c r="C210" s="51" t="s">
        <v>128</v>
      </c>
    </row>
    <row r="212" spans="1:8" ht="15.75">
      <c r="A212" s="1" t="s">
        <v>129</v>
      </c>
      <c r="F212" s="85" t="s">
        <v>225</v>
      </c>
      <c r="G212" s="86"/>
      <c r="H212" s="61">
        <v>1</v>
      </c>
    </row>
    <row r="213" spans="1:8" ht="15.75">
      <c r="A213" s="1" t="s">
        <v>130</v>
      </c>
      <c r="B213" s="1">
        <f>(P46*8+8*7)/B204</f>
        <v>2007.6923076923076</v>
      </c>
      <c r="F213" s="85" t="s">
        <v>226</v>
      </c>
      <c r="G213" s="86"/>
      <c r="H213" s="61">
        <v>1</v>
      </c>
    </row>
    <row r="214" spans="1:8" ht="15.75">
      <c r="A214" s="1" t="s">
        <v>131</v>
      </c>
      <c r="B214" s="1">
        <f>E142/B213</f>
        <v>105.42977586206898</v>
      </c>
      <c r="C214" s="1">
        <f>ROUNDUP(B214,0)</f>
        <v>106</v>
      </c>
      <c r="D214" s="1" t="s">
        <v>245</v>
      </c>
      <c r="F214" s="85" t="s">
        <v>227</v>
      </c>
      <c r="G214" s="86"/>
      <c r="H214" s="61">
        <v>1</v>
      </c>
    </row>
    <row r="215" spans="1:8" ht="15.75">
      <c r="A215" s="1" t="s">
        <v>132</v>
      </c>
      <c r="B215" s="1">
        <f>E143/B213</f>
        <v>10.123522500000002</v>
      </c>
      <c r="C215" s="1">
        <f>ROUNDUP(B215,0)</f>
        <v>11</v>
      </c>
      <c r="D215" s="1" t="s">
        <v>245</v>
      </c>
      <c r="F215" s="85" t="s">
        <v>228</v>
      </c>
      <c r="G215" s="86"/>
      <c r="H215" s="61">
        <v>1</v>
      </c>
    </row>
    <row r="216" spans="1:8" ht="15.75">
      <c r="A216" s="1" t="s">
        <v>133</v>
      </c>
      <c r="B216" s="1">
        <f>E144/B213</f>
        <v>10.506263793103448</v>
      </c>
      <c r="C216" s="1">
        <f>ROUNDUP(B216,0)</f>
        <v>11</v>
      </c>
      <c r="D216" s="1" t="s">
        <v>247</v>
      </c>
      <c r="F216" s="85" t="s">
        <v>229</v>
      </c>
      <c r="G216" s="86"/>
      <c r="H216" s="61">
        <v>2</v>
      </c>
    </row>
    <row r="217" spans="1:8" ht="15.75">
      <c r="A217" s="1" t="s">
        <v>134</v>
      </c>
      <c r="B217" s="1">
        <f>4*8</f>
        <v>32</v>
      </c>
      <c r="F217" s="85" t="s">
        <v>230</v>
      </c>
      <c r="G217" s="86"/>
      <c r="H217" s="61">
        <v>1</v>
      </c>
    </row>
    <row r="218" spans="1:8" ht="15.75">
      <c r="A218" s="1" t="s">
        <v>135</v>
      </c>
      <c r="B218" s="1">
        <f>(B214+B215+B216)*B219</f>
        <v>31.514890538793107</v>
      </c>
      <c r="C218" s="1">
        <f>ROUNDUP(B218,0)</f>
        <v>32</v>
      </c>
      <c r="F218" s="85" t="s">
        <v>231</v>
      </c>
      <c r="G218" s="86"/>
      <c r="H218" s="61">
        <v>1</v>
      </c>
    </row>
    <row r="219" spans="1:8" ht="15.75">
      <c r="A219" s="1" t="s">
        <v>136</v>
      </c>
      <c r="B219" s="1">
        <v>0.25</v>
      </c>
      <c r="F219" s="87" t="s">
        <v>232</v>
      </c>
      <c r="G219" s="87"/>
      <c r="H219" s="61">
        <v>2</v>
      </c>
    </row>
    <row r="220" spans="6:8" ht="15.75">
      <c r="F220" s="87" t="s">
        <v>233</v>
      </c>
      <c r="G220" s="87"/>
      <c r="H220" s="61">
        <v>7</v>
      </c>
    </row>
    <row r="221" spans="6:8" ht="15.75">
      <c r="F221" s="87" t="s">
        <v>234</v>
      </c>
      <c r="G221" s="87"/>
      <c r="H221" s="61">
        <v>1</v>
      </c>
    </row>
    <row r="222" spans="1:8" ht="15.75">
      <c r="A222" s="1">
        <v>6</v>
      </c>
      <c r="F222" s="87" t="s">
        <v>235</v>
      </c>
      <c r="G222" s="87"/>
      <c r="H222" s="61">
        <v>1</v>
      </c>
    </row>
    <row r="223" spans="1:8" ht="15.75">
      <c r="A223" s="1">
        <v>6.1</v>
      </c>
      <c r="F223" s="87" t="s">
        <v>236</v>
      </c>
      <c r="G223" s="87"/>
      <c r="H223" s="61">
        <v>1</v>
      </c>
    </row>
    <row r="224" spans="6:8" ht="15.75">
      <c r="F224" s="61"/>
      <c r="G224" s="63" t="s">
        <v>237</v>
      </c>
      <c r="H224" s="2">
        <f>SUM(H212:H223)</f>
        <v>20</v>
      </c>
    </row>
    <row r="225" spans="1:5" ht="15.75">
      <c r="A225" s="1" t="s">
        <v>137</v>
      </c>
      <c r="B225" s="1">
        <f>FLOOR(E225/E226,1)</f>
        <v>13</v>
      </c>
      <c r="D225" s="1" t="s">
        <v>238</v>
      </c>
      <c r="E225" s="1">
        <v>540</v>
      </c>
    </row>
    <row r="226" spans="1:5" ht="15.75">
      <c r="A226" s="1" t="s">
        <v>138</v>
      </c>
      <c r="B226" s="1">
        <f>B175*B165</f>
        <v>92.81253803667597</v>
      </c>
      <c r="D226" s="1" t="s">
        <v>239</v>
      </c>
      <c r="E226" s="1">
        <v>40</v>
      </c>
    </row>
    <row r="227" spans="1:4" ht="15.75">
      <c r="A227" s="1" t="s">
        <v>139</v>
      </c>
      <c r="B227" s="1">
        <f>B226/B225</f>
        <v>7.139426002821229</v>
      </c>
      <c r="C227" s="1" t="s">
        <v>179</v>
      </c>
      <c r="D227" s="1">
        <v>8</v>
      </c>
    </row>
    <row r="229" ht="15.75">
      <c r="B229" s="1" t="s">
        <v>140</v>
      </c>
    </row>
    <row r="232" spans="1:2" ht="15.75">
      <c r="A232" s="57" t="s">
        <v>141</v>
      </c>
      <c r="B232" s="1">
        <v>0.02</v>
      </c>
    </row>
    <row r="233" spans="1:2" ht="15.75">
      <c r="A233" s="1" t="s">
        <v>142</v>
      </c>
      <c r="B233" s="1">
        <v>120</v>
      </c>
    </row>
    <row r="234" spans="1:2" ht="15.75">
      <c r="A234" s="1" t="s">
        <v>143</v>
      </c>
      <c r="B234" s="1">
        <v>480</v>
      </c>
    </row>
    <row r="235" spans="1:4" ht="15.75">
      <c r="A235" s="1" t="s">
        <v>144</v>
      </c>
      <c r="B235" s="1">
        <f>B226*B232*B233/B234</f>
        <v>0.46406269018337987</v>
      </c>
      <c r="C235" s="1" t="s">
        <v>179</v>
      </c>
      <c r="D235" s="1">
        <v>1</v>
      </c>
    </row>
    <row r="237" spans="1:4" ht="15.75">
      <c r="A237" s="1" t="s">
        <v>145</v>
      </c>
      <c r="B237" s="1">
        <f>(1/3)*B235</f>
        <v>0.15468756339445994</v>
      </c>
      <c r="C237" s="1" t="s">
        <v>179</v>
      </c>
      <c r="D237" s="1">
        <v>1</v>
      </c>
    </row>
    <row r="239" spans="1:7" ht="15.75">
      <c r="A239" s="1" t="s">
        <v>248</v>
      </c>
      <c r="B239" s="1" t="s">
        <v>249</v>
      </c>
      <c r="C239" s="1" t="s">
        <v>250</v>
      </c>
      <c r="D239" s="1" t="s">
        <v>251</v>
      </c>
      <c r="E239" s="1" t="s">
        <v>252</v>
      </c>
      <c r="F239" s="1" t="s">
        <v>146</v>
      </c>
      <c r="G239" s="1" t="s">
        <v>253</v>
      </c>
    </row>
    <row r="240" spans="1:7" ht="15.75">
      <c r="A240" s="1">
        <v>2</v>
      </c>
      <c r="B240" s="1">
        <v>1.25</v>
      </c>
      <c r="C240" s="1">
        <v>0.5</v>
      </c>
      <c r="D240" s="1">
        <v>11.83</v>
      </c>
      <c r="E240" s="1">
        <v>1</v>
      </c>
      <c r="F240" s="54">
        <f>D172</f>
        <v>6</v>
      </c>
      <c r="G240" s="1">
        <v>4</v>
      </c>
    </row>
    <row r="242" spans="1:3" ht="15.75">
      <c r="A242" s="1" t="s">
        <v>147</v>
      </c>
      <c r="B242" s="1">
        <f>2*A240+2*B240+2*C240+F240*D240+(F240-1)*E240</f>
        <v>83.48</v>
      </c>
      <c r="C242" s="1" t="s">
        <v>254</v>
      </c>
    </row>
    <row r="243" spans="1:3" ht="15.75">
      <c r="A243" s="1" t="s">
        <v>148</v>
      </c>
      <c r="B243" s="1">
        <f>2*A240+6*B240+6*C240+F240*D240+(F240-3)*E240+2*G240</f>
        <v>96.48</v>
      </c>
      <c r="C243" s="1" t="s">
        <v>254</v>
      </c>
    </row>
    <row r="246" ht="15.75">
      <c r="A246" s="1">
        <v>6.2</v>
      </c>
    </row>
    <row r="248" spans="1:3" ht="15.75">
      <c r="A248" s="1" t="s">
        <v>150</v>
      </c>
      <c r="B248" s="1">
        <v>3</v>
      </c>
      <c r="C248" s="1" t="s">
        <v>256</v>
      </c>
    </row>
    <row r="249" spans="1:3" ht="15.75">
      <c r="A249" s="1" t="s">
        <v>149</v>
      </c>
      <c r="B249" s="1">
        <f>CEILING(B248*B153/P46,1)</f>
        <v>2</v>
      </c>
      <c r="C249" s="1" t="s">
        <v>255</v>
      </c>
    </row>
    <row r="250" spans="1:3" ht="15.75">
      <c r="A250" s="57" t="s">
        <v>151</v>
      </c>
      <c r="B250" s="1">
        <v>8</v>
      </c>
      <c r="C250" s="1" t="s">
        <v>257</v>
      </c>
    </row>
    <row r="251" spans="1:3" ht="15.75">
      <c r="A251" s="1" t="s">
        <v>152</v>
      </c>
      <c r="B251" s="1">
        <f>CEILING(((B250-B248)*B153)/P46,1)</f>
        <v>3</v>
      </c>
      <c r="C251" s="1" t="s">
        <v>255</v>
      </c>
    </row>
    <row r="253" ht="15.75">
      <c r="A253" s="59"/>
    </row>
    <row r="254" ht="13.5" customHeight="1">
      <c r="A254" s="58">
        <v>6.3</v>
      </c>
    </row>
    <row r="255" ht="15.75" hidden="1"/>
    <row r="256" spans="2:6" ht="35.25" customHeight="1">
      <c r="B256" s="83" t="s">
        <v>153</v>
      </c>
      <c r="C256" s="84" t="s">
        <v>154</v>
      </c>
      <c r="D256" s="83" t="s">
        <v>155</v>
      </c>
      <c r="E256" s="83"/>
      <c r="F256" s="83" t="s">
        <v>156</v>
      </c>
    </row>
    <row r="257" spans="2:6" ht="15.75">
      <c r="B257" s="83"/>
      <c r="C257" s="84"/>
      <c r="D257" s="61" t="s">
        <v>157</v>
      </c>
      <c r="E257" s="61" t="s">
        <v>158</v>
      </c>
      <c r="F257" s="83"/>
    </row>
    <row r="258" spans="2:6" ht="15.75">
      <c r="B258" s="61" t="s">
        <v>159</v>
      </c>
      <c r="C258" s="61">
        <v>13</v>
      </c>
      <c r="D258" s="61">
        <v>25</v>
      </c>
      <c r="E258" s="61">
        <v>10</v>
      </c>
      <c r="F258" s="61">
        <f>D258+E258*(C258-1)</f>
        <v>145</v>
      </c>
    </row>
    <row r="259" spans="2:6" ht="15.75">
      <c r="B259" s="61" t="s">
        <v>160</v>
      </c>
      <c r="C259" s="61">
        <v>13</v>
      </c>
      <c r="D259" s="61">
        <v>20</v>
      </c>
      <c r="E259" s="61">
        <v>10</v>
      </c>
      <c r="F259" s="61">
        <f aca="true" t="shared" si="14" ref="F259:F267">D259+E259*(C259-1)</f>
        <v>140</v>
      </c>
    </row>
    <row r="260" spans="2:6" ht="15.75">
      <c r="B260" s="61" t="s">
        <v>161</v>
      </c>
      <c r="C260" s="61">
        <v>6</v>
      </c>
      <c r="D260" s="61">
        <v>30</v>
      </c>
      <c r="E260" s="61">
        <v>15</v>
      </c>
      <c r="F260" s="61">
        <f t="shared" si="14"/>
        <v>105</v>
      </c>
    </row>
    <row r="261" spans="2:9" ht="15.75">
      <c r="B261" s="61" t="s">
        <v>162</v>
      </c>
      <c r="C261" s="61">
        <v>7</v>
      </c>
      <c r="D261" s="61">
        <v>15</v>
      </c>
      <c r="E261" s="61">
        <v>10</v>
      </c>
      <c r="F261" s="61">
        <f t="shared" si="14"/>
        <v>75</v>
      </c>
      <c r="I261" s="62"/>
    </row>
    <row r="262" spans="2:9" ht="15.75">
      <c r="B262" s="61" t="s">
        <v>163</v>
      </c>
      <c r="C262" s="61">
        <v>6</v>
      </c>
      <c r="D262" s="61">
        <v>20</v>
      </c>
      <c r="E262" s="61">
        <v>10</v>
      </c>
      <c r="F262" s="61">
        <f t="shared" si="14"/>
        <v>70</v>
      </c>
      <c r="I262" s="62"/>
    </row>
    <row r="263" spans="2:9" ht="15.75">
      <c r="B263" s="61" t="s">
        <v>164</v>
      </c>
      <c r="C263" s="61">
        <v>4</v>
      </c>
      <c r="D263" s="61">
        <v>20</v>
      </c>
      <c r="E263" s="61">
        <v>10</v>
      </c>
      <c r="F263" s="61">
        <f t="shared" si="14"/>
        <v>50</v>
      </c>
      <c r="I263" s="62"/>
    </row>
    <row r="264" spans="2:9" ht="15.75">
      <c r="B264" s="61" t="s">
        <v>165</v>
      </c>
      <c r="C264" s="61">
        <v>48</v>
      </c>
      <c r="D264" s="61">
        <v>20</v>
      </c>
      <c r="E264" s="61">
        <v>8</v>
      </c>
      <c r="F264" s="61">
        <f t="shared" si="14"/>
        <v>396</v>
      </c>
      <c r="I264" s="62"/>
    </row>
    <row r="265" spans="2:9" ht="15.75" customHeight="1">
      <c r="B265" s="64" t="s">
        <v>169</v>
      </c>
      <c r="C265" s="61">
        <v>23</v>
      </c>
      <c r="D265" s="61">
        <v>25</v>
      </c>
      <c r="E265" s="61">
        <v>10</v>
      </c>
      <c r="F265" s="61">
        <f t="shared" si="14"/>
        <v>245</v>
      </c>
      <c r="I265" s="62"/>
    </row>
    <row r="266" spans="2:9" ht="15.75">
      <c r="B266" s="61" t="s">
        <v>166</v>
      </c>
      <c r="C266" s="61">
        <v>5</v>
      </c>
      <c r="D266" s="61">
        <v>25</v>
      </c>
      <c r="E266" s="61">
        <v>12</v>
      </c>
      <c r="F266" s="61">
        <f t="shared" si="14"/>
        <v>73</v>
      </c>
      <c r="I266" s="62"/>
    </row>
    <row r="267" spans="2:9" ht="15.75">
      <c r="B267" s="61" t="s">
        <v>167</v>
      </c>
      <c r="C267" s="61">
        <v>7</v>
      </c>
      <c r="D267" s="61">
        <v>25</v>
      </c>
      <c r="E267" s="61">
        <v>10</v>
      </c>
      <c r="F267" s="61">
        <f t="shared" si="14"/>
        <v>85</v>
      </c>
      <c r="I267" s="62"/>
    </row>
    <row r="268" spans="2:9" ht="15.75">
      <c r="B268" s="66" t="s">
        <v>168</v>
      </c>
      <c r="C268" s="65">
        <f>SUM(C258:C267)</f>
        <v>132</v>
      </c>
      <c r="D268" s="60"/>
      <c r="E268" s="60"/>
      <c r="F268" s="60"/>
      <c r="I268" s="62"/>
    </row>
    <row r="269" ht="15.75">
      <c r="I269" s="62"/>
    </row>
    <row r="270" spans="1:9" ht="15.75">
      <c r="A270" s="1">
        <v>7</v>
      </c>
      <c r="I270" s="62"/>
    </row>
    <row r="271" spans="1:9" ht="15.75">
      <c r="A271" s="1">
        <v>7.1</v>
      </c>
      <c r="I271" s="67"/>
    </row>
    <row r="273" spans="1:2" ht="15.75">
      <c r="A273" s="1" t="s">
        <v>171</v>
      </c>
      <c r="B273" s="1">
        <v>0.06</v>
      </c>
    </row>
    <row r="274" spans="1:2" ht="15.75">
      <c r="A274" s="1" t="s">
        <v>170</v>
      </c>
      <c r="B274" s="1">
        <f>B165*B273</f>
        <v>6.72</v>
      </c>
    </row>
    <row r="275" spans="1:2" ht="15.75">
      <c r="A275" s="1" t="s">
        <v>172</v>
      </c>
      <c r="B275" s="1">
        <v>5</v>
      </c>
    </row>
    <row r="276" spans="1:4" ht="15.75">
      <c r="A276" s="1" t="s">
        <v>173</v>
      </c>
      <c r="B276" s="1">
        <f>B274/B275</f>
        <v>1.3439999999999999</v>
      </c>
      <c r="C276" s="1" t="s">
        <v>179</v>
      </c>
      <c r="D276" s="1">
        <f>CEILING(B276,1)+1</f>
        <v>3</v>
      </c>
    </row>
    <row r="277" spans="1:2" ht="15.75">
      <c r="A277" s="1" t="s">
        <v>174</v>
      </c>
      <c r="B277" s="1">
        <v>13</v>
      </c>
    </row>
    <row r="278" spans="1:2" ht="15.75">
      <c r="A278" s="1" t="s">
        <v>174</v>
      </c>
      <c r="B278" s="1">
        <f>D276*B277</f>
        <v>39</v>
      </c>
    </row>
    <row r="280" ht="15.75">
      <c r="A280" s="1">
        <v>7.2</v>
      </c>
    </row>
    <row r="282" spans="1:2" ht="15.75">
      <c r="A282" s="1" t="s">
        <v>175</v>
      </c>
      <c r="B282" s="1">
        <v>2.5</v>
      </c>
    </row>
    <row r="283" spans="1:2" ht="15.75">
      <c r="A283" s="1" t="s">
        <v>176</v>
      </c>
      <c r="B283" s="1">
        <f>B165*B282</f>
        <v>280</v>
      </c>
    </row>
    <row r="284" spans="1:2" ht="15.75">
      <c r="A284" s="1" t="s">
        <v>177</v>
      </c>
      <c r="B284" s="1">
        <v>250</v>
      </c>
    </row>
    <row r="285" spans="1:4" ht="15.75">
      <c r="A285" s="1" t="s">
        <v>178</v>
      </c>
      <c r="B285" s="1">
        <f>B283/250</f>
        <v>1.12</v>
      </c>
      <c r="C285" s="1" t="s">
        <v>179</v>
      </c>
      <c r="D285" s="1">
        <f>CEILING(B285,1)+1</f>
        <v>3</v>
      </c>
    </row>
    <row r="286" spans="1:2" ht="15.75">
      <c r="A286" s="1" t="s">
        <v>180</v>
      </c>
      <c r="B286" s="1">
        <v>36</v>
      </c>
    </row>
    <row r="287" spans="1:2" ht="15.75">
      <c r="A287" s="1" t="s">
        <v>181</v>
      </c>
      <c r="B287" s="1">
        <f>D285*B286</f>
        <v>108</v>
      </c>
    </row>
    <row r="289" ht="15.75">
      <c r="A289" s="1">
        <v>7.3</v>
      </c>
    </row>
    <row r="290" spans="1:2" ht="15.75">
      <c r="A290" s="1" t="s">
        <v>182</v>
      </c>
      <c r="B290" s="1">
        <v>0.2</v>
      </c>
    </row>
    <row r="291" spans="1:2" ht="15.75">
      <c r="A291" s="1" t="s">
        <v>183</v>
      </c>
      <c r="B291" s="1">
        <f>B165*B290</f>
        <v>22.400000000000002</v>
      </c>
    </row>
    <row r="293" ht="15.75">
      <c r="A293" s="1">
        <v>7.4</v>
      </c>
    </row>
    <row r="294" spans="1:2" ht="15.75">
      <c r="A294" s="1" t="s">
        <v>184</v>
      </c>
      <c r="B294" s="1">
        <v>1</v>
      </c>
    </row>
    <row r="295" spans="1:2" ht="15.75">
      <c r="A295" s="1" t="s">
        <v>185</v>
      </c>
      <c r="B295" s="1">
        <f>B165*B294</f>
        <v>112</v>
      </c>
    </row>
    <row r="297" ht="15.75">
      <c r="A297" s="1">
        <v>7.5</v>
      </c>
    </row>
    <row r="298" spans="1:2" ht="15.75">
      <c r="A298" s="1" t="s">
        <v>186</v>
      </c>
      <c r="B298" s="1">
        <v>45</v>
      </c>
    </row>
    <row r="299" spans="1:2" ht="15.75">
      <c r="A299" s="1" t="s">
        <v>187</v>
      </c>
      <c r="B299" s="1">
        <v>50</v>
      </c>
    </row>
    <row r="300" spans="1:3" ht="15.75">
      <c r="A300" s="1" t="s">
        <v>188</v>
      </c>
      <c r="B300" s="1">
        <f>3</f>
        <v>3</v>
      </c>
      <c r="C300" s="1" t="s">
        <v>189</v>
      </c>
    </row>
    <row r="301" spans="1:2" ht="15.75">
      <c r="A301" s="1" t="s">
        <v>190</v>
      </c>
      <c r="B301" s="1">
        <f>B298*B300+B299</f>
        <v>185</v>
      </c>
    </row>
    <row r="303" ht="15.75">
      <c r="A303" s="1">
        <v>7.6</v>
      </c>
    </row>
    <row r="304" spans="1:2" ht="15.75">
      <c r="A304" s="1" t="s">
        <v>191</v>
      </c>
      <c r="B304" s="1">
        <v>0.5</v>
      </c>
    </row>
    <row r="305" spans="1:2" ht="15.75">
      <c r="A305" s="1" t="s">
        <v>192</v>
      </c>
      <c r="B305" s="1">
        <f>B165*B304</f>
        <v>56</v>
      </c>
    </row>
    <row r="307" ht="15.75">
      <c r="A307" s="1">
        <v>7.7</v>
      </c>
    </row>
    <row r="308" spans="1:2" ht="15.75">
      <c r="A308" s="1" t="s">
        <v>193</v>
      </c>
      <c r="B308" s="53">
        <f>B100</f>
        <v>51131</v>
      </c>
    </row>
    <row r="309" spans="1:2" ht="15.75">
      <c r="A309" s="1" t="s">
        <v>112</v>
      </c>
      <c r="B309" s="1">
        <v>6</v>
      </c>
    </row>
    <row r="310" spans="1:2" ht="15.75">
      <c r="A310" s="1" t="s">
        <v>194</v>
      </c>
      <c r="B310" s="1">
        <f>B165*B308*B309</f>
        <v>34360032</v>
      </c>
    </row>
    <row r="311" spans="1:2" ht="15.75">
      <c r="A311" s="1" t="s">
        <v>195</v>
      </c>
      <c r="B311" s="1">
        <v>85000</v>
      </c>
    </row>
    <row r="312" spans="1:2" ht="15.75">
      <c r="A312" s="1" t="s">
        <v>196</v>
      </c>
      <c r="B312" s="1">
        <f>CEILING(B310/(12*B311),1)</f>
        <v>34</v>
      </c>
    </row>
    <row r="313" spans="1:2" ht="15.75">
      <c r="A313" s="1" t="s">
        <v>197</v>
      </c>
      <c r="B313" s="1">
        <f>2*B312</f>
        <v>68</v>
      </c>
    </row>
    <row r="314" spans="1:2" ht="15.75">
      <c r="A314" s="1" t="s">
        <v>50</v>
      </c>
      <c r="B314" s="1">
        <v>20</v>
      </c>
    </row>
    <row r="315" spans="1:2" ht="15.75">
      <c r="A315" s="1" t="s">
        <v>51</v>
      </c>
      <c r="B315" s="1">
        <v>15</v>
      </c>
    </row>
    <row r="316" spans="1:2" ht="15.75">
      <c r="A316" s="1" t="s">
        <v>198</v>
      </c>
      <c r="B316" s="1">
        <f>CEILING(B313/B314,1)</f>
        <v>4</v>
      </c>
    </row>
    <row r="317" spans="1:2" ht="15.75">
      <c r="A317" s="1" t="s">
        <v>199</v>
      </c>
      <c r="B317" s="1">
        <f>CEILING(B313/B315,1)</f>
        <v>5</v>
      </c>
    </row>
    <row r="318" spans="1:2" ht="15.75">
      <c r="A318" s="1" t="s">
        <v>200</v>
      </c>
      <c r="B318" s="1">
        <v>3</v>
      </c>
    </row>
    <row r="319" spans="1:2" ht="15.75">
      <c r="A319" s="1" t="s">
        <v>201</v>
      </c>
      <c r="B319" s="1">
        <v>1</v>
      </c>
    </row>
    <row r="320" spans="1:2" ht="15.75">
      <c r="A320" s="1" t="s">
        <v>202</v>
      </c>
      <c r="B320" s="1">
        <f>B316*B318+B317*B319</f>
        <v>17</v>
      </c>
    </row>
    <row r="322" ht="15.75">
      <c r="A322" s="1">
        <v>7.8</v>
      </c>
    </row>
    <row r="323" spans="1:2" ht="15.75">
      <c r="A323" s="1" t="s">
        <v>203</v>
      </c>
      <c r="B323" s="1">
        <v>80</v>
      </c>
    </row>
    <row r="325" ht="15.75">
      <c r="A325" s="1">
        <v>7.9</v>
      </c>
    </row>
    <row r="326" spans="1:2" ht="15.75">
      <c r="A326" s="1" t="s">
        <v>204</v>
      </c>
      <c r="B326" s="1">
        <v>24</v>
      </c>
    </row>
    <row r="328" ht="15.75">
      <c r="A328" s="1">
        <v>8</v>
      </c>
    </row>
    <row r="329" ht="15.75">
      <c r="A329" s="1">
        <v>8.1</v>
      </c>
    </row>
    <row r="331" spans="1:2" ht="15.75">
      <c r="A331" s="1" t="s">
        <v>205</v>
      </c>
      <c r="B331" s="1">
        <v>8</v>
      </c>
    </row>
    <row r="332" spans="1:2" ht="15.75">
      <c r="A332" s="1" t="s">
        <v>206</v>
      </c>
      <c r="B332" s="1">
        <f>2*8</f>
        <v>16</v>
      </c>
    </row>
    <row r="333" spans="1:2" ht="15.75">
      <c r="A333" s="1" t="s">
        <v>207</v>
      </c>
      <c r="B333" s="1">
        <f>B331+0.25*B332</f>
        <v>12</v>
      </c>
    </row>
    <row r="335" ht="15.75">
      <c r="A335" s="1">
        <v>8.2</v>
      </c>
    </row>
    <row r="337" spans="1:2" ht="15.75">
      <c r="A337" s="1" t="s">
        <v>208</v>
      </c>
      <c r="B337" s="1">
        <v>0.5</v>
      </c>
    </row>
    <row r="338" spans="1:2" ht="15.75">
      <c r="A338" s="1" t="s">
        <v>209</v>
      </c>
      <c r="B338" s="1">
        <f>C268</f>
        <v>132</v>
      </c>
    </row>
    <row r="339" spans="1:2" ht="15.75">
      <c r="A339" s="1" t="s">
        <v>210</v>
      </c>
      <c r="B339" s="1">
        <f>0.7*B338*B337</f>
        <v>46.199999999999996</v>
      </c>
    </row>
    <row r="340" spans="1:2" ht="15.75">
      <c r="A340" s="1" t="s">
        <v>211</v>
      </c>
      <c r="B340" s="1">
        <f>0.3*B338*B337</f>
        <v>19.8</v>
      </c>
    </row>
    <row r="342" ht="15.75">
      <c r="A342" s="1">
        <v>8.3</v>
      </c>
    </row>
    <row r="344" spans="1:2" ht="15.75">
      <c r="A344" s="1" t="s">
        <v>212</v>
      </c>
      <c r="B344" s="1">
        <v>4.5</v>
      </c>
    </row>
    <row r="345" spans="1:2" ht="15.75">
      <c r="A345" s="1" t="s">
        <v>213</v>
      </c>
      <c r="B345" s="1">
        <f>(0.7*C268*B344)/7</f>
        <v>59.39999999999999</v>
      </c>
    </row>
    <row r="346" spans="1:2" ht="15.75">
      <c r="A346" s="1" t="s">
        <v>214</v>
      </c>
      <c r="B346" s="56">
        <f>(0.3*B344*C268)/7</f>
        <v>25.457142857142856</v>
      </c>
    </row>
    <row r="348" ht="15.75">
      <c r="A348" s="1">
        <v>8.4</v>
      </c>
    </row>
    <row r="350" spans="1:2" ht="15.75">
      <c r="A350" s="1" t="s">
        <v>215</v>
      </c>
      <c r="B350" s="1">
        <v>2.5</v>
      </c>
    </row>
    <row r="351" spans="1:2" ht="15.75">
      <c r="A351" s="1" t="s">
        <v>216</v>
      </c>
      <c r="B351" s="56">
        <f>(0.7*C268*B350)/10</f>
        <v>23.099999999999998</v>
      </c>
    </row>
    <row r="352" spans="1:2" ht="15.75">
      <c r="A352" s="1" t="s">
        <v>217</v>
      </c>
      <c r="B352" s="56">
        <f>(0.3*C268*B350)/10</f>
        <v>9.9</v>
      </c>
    </row>
    <row r="354" ht="15.75">
      <c r="A354" s="1">
        <v>8.5</v>
      </c>
    </row>
    <row r="356" spans="1:2" ht="15.75">
      <c r="A356" s="1" t="s">
        <v>218</v>
      </c>
      <c r="B356" s="1">
        <v>4.5</v>
      </c>
    </row>
    <row r="357" spans="1:2" ht="15.75">
      <c r="A357" s="1" t="s">
        <v>219</v>
      </c>
      <c r="B357" s="1">
        <f>(0.7*C268*B356)/18</f>
        <v>23.099999999999998</v>
      </c>
    </row>
    <row r="358" spans="1:2" ht="15.75">
      <c r="A358" s="1" t="s">
        <v>220</v>
      </c>
      <c r="B358" s="1">
        <f>(0.3*C268*B356)/12</f>
        <v>14.850000000000001</v>
      </c>
    </row>
    <row r="360" ht="15.75">
      <c r="A360" s="1">
        <v>8.7</v>
      </c>
    </row>
    <row r="361" spans="1:2" ht="15.75">
      <c r="A361" s="1" t="s">
        <v>221</v>
      </c>
      <c r="B361" s="1">
        <v>0.25</v>
      </c>
    </row>
    <row r="362" spans="1:2" ht="15.75">
      <c r="A362" s="1" t="s">
        <v>222</v>
      </c>
      <c r="B362" s="1">
        <f>B361*B202</f>
        <v>35</v>
      </c>
    </row>
    <row r="364" ht="15.75">
      <c r="A364" s="1">
        <v>8.6</v>
      </c>
    </row>
    <row r="365" spans="1:2" ht="15.75">
      <c r="A365" s="1" t="s">
        <v>223</v>
      </c>
      <c r="B365" s="1">
        <v>0.25</v>
      </c>
    </row>
    <row r="366" spans="1:2" ht="15.75">
      <c r="A366" s="1" t="s">
        <v>224</v>
      </c>
      <c r="B366" s="1">
        <f>B365*C268</f>
        <v>33</v>
      </c>
    </row>
  </sheetData>
  <sheetProtection/>
  <mergeCells count="212">
    <mergeCell ref="D3:D4"/>
    <mergeCell ref="E3:E4"/>
    <mergeCell ref="E5:E6"/>
    <mergeCell ref="D5:D6"/>
    <mergeCell ref="C7:C8"/>
    <mergeCell ref="C9:C10"/>
    <mergeCell ref="D7:D8"/>
    <mergeCell ref="D9:D10"/>
    <mergeCell ref="E9:E10"/>
    <mergeCell ref="D11:D12"/>
    <mergeCell ref="D13:D14"/>
    <mergeCell ref="E13:E14"/>
    <mergeCell ref="D15:D16"/>
    <mergeCell ref="E15:E16"/>
    <mergeCell ref="E11:E12"/>
    <mergeCell ref="B13:B14"/>
    <mergeCell ref="B15:B16"/>
    <mergeCell ref="C11:C12"/>
    <mergeCell ref="A7:A8"/>
    <mergeCell ref="A9:A10"/>
    <mergeCell ref="A11:A12"/>
    <mergeCell ref="A13:A14"/>
    <mergeCell ref="A15:A16"/>
    <mergeCell ref="C13:C14"/>
    <mergeCell ref="C15:C16"/>
    <mergeCell ref="A17:A18"/>
    <mergeCell ref="A26:B26"/>
    <mergeCell ref="C26:D26"/>
    <mergeCell ref="A19:A20"/>
    <mergeCell ref="D17:D18"/>
    <mergeCell ref="E26:F26"/>
    <mergeCell ref="C17:C18"/>
    <mergeCell ref="G26:H26"/>
    <mergeCell ref="D19:D20"/>
    <mergeCell ref="C19:C20"/>
    <mergeCell ref="B17:B18"/>
    <mergeCell ref="B19:B20"/>
    <mergeCell ref="I26:K26"/>
    <mergeCell ref="J1:K1"/>
    <mergeCell ref="F1:G1"/>
    <mergeCell ref="H1:I1"/>
    <mergeCell ref="E19:E20"/>
    <mergeCell ref="L1:M1"/>
    <mergeCell ref="E17:E18"/>
    <mergeCell ref="E7:E8"/>
    <mergeCell ref="N1:O1"/>
    <mergeCell ref="A3:A4"/>
    <mergeCell ref="A5:A6"/>
    <mergeCell ref="C3:C4"/>
    <mergeCell ref="C5:C6"/>
    <mergeCell ref="A1:B1"/>
    <mergeCell ref="C1:C2"/>
    <mergeCell ref="D1:D2"/>
    <mergeCell ref="E1:E2"/>
    <mergeCell ref="B3:B4"/>
    <mergeCell ref="B5:B6"/>
    <mergeCell ref="B7:B8"/>
    <mergeCell ref="B9:B10"/>
    <mergeCell ref="B11:B12"/>
    <mergeCell ref="D83:E83"/>
    <mergeCell ref="D84:E84"/>
    <mergeCell ref="B79:C79"/>
    <mergeCell ref="B80:C80"/>
    <mergeCell ref="B81:C81"/>
    <mergeCell ref="B82:C82"/>
    <mergeCell ref="J70:K70"/>
    <mergeCell ref="B74:C74"/>
    <mergeCell ref="B75:C75"/>
    <mergeCell ref="B76:C76"/>
    <mergeCell ref="B77:C77"/>
    <mergeCell ref="B78:C78"/>
    <mergeCell ref="H72:I72"/>
    <mergeCell ref="H71:I71"/>
    <mergeCell ref="H70:I70"/>
    <mergeCell ref="B72:C72"/>
    <mergeCell ref="A86:A8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B73:C73"/>
    <mergeCell ref="D69:E69"/>
    <mergeCell ref="F69:G69"/>
    <mergeCell ref="F70:G70"/>
    <mergeCell ref="F71:G71"/>
    <mergeCell ref="F72:G72"/>
    <mergeCell ref="H69:I69"/>
    <mergeCell ref="J69:K69"/>
    <mergeCell ref="B68:C68"/>
    <mergeCell ref="D68:E68"/>
    <mergeCell ref="F68:G68"/>
    <mergeCell ref="H68:I68"/>
    <mergeCell ref="J68:K68"/>
    <mergeCell ref="B69:C69"/>
    <mergeCell ref="D85:E85"/>
    <mergeCell ref="D86:E86"/>
    <mergeCell ref="D87:E87"/>
    <mergeCell ref="D77:E77"/>
    <mergeCell ref="D78:E78"/>
    <mergeCell ref="D79:E79"/>
    <mergeCell ref="D80:E80"/>
    <mergeCell ref="D81:E81"/>
    <mergeCell ref="D82:E82"/>
    <mergeCell ref="B85:C85"/>
    <mergeCell ref="B86:C86"/>
    <mergeCell ref="B87:C87"/>
    <mergeCell ref="D70:E70"/>
    <mergeCell ref="D71:E71"/>
    <mergeCell ref="D72:E72"/>
    <mergeCell ref="D73:E73"/>
    <mergeCell ref="D74:E74"/>
    <mergeCell ref="D75:E75"/>
    <mergeCell ref="D76:E76"/>
    <mergeCell ref="B84:C84"/>
    <mergeCell ref="J71:K71"/>
    <mergeCell ref="F73:G73"/>
    <mergeCell ref="F74:G74"/>
    <mergeCell ref="F75:G75"/>
    <mergeCell ref="F81:G81"/>
    <mergeCell ref="F82:G82"/>
    <mergeCell ref="F83:G83"/>
    <mergeCell ref="F84:G84"/>
    <mergeCell ref="B71:C71"/>
    <mergeCell ref="F76:G76"/>
    <mergeCell ref="F77:G77"/>
    <mergeCell ref="F78:G78"/>
    <mergeCell ref="F79:G79"/>
    <mergeCell ref="F80:G80"/>
    <mergeCell ref="B83:C83"/>
    <mergeCell ref="J87:K87"/>
    <mergeCell ref="J72:K72"/>
    <mergeCell ref="J73:K73"/>
    <mergeCell ref="J74:K74"/>
    <mergeCell ref="J75:K75"/>
    <mergeCell ref="J76:K76"/>
    <mergeCell ref="J77:K77"/>
    <mergeCell ref="J78:K78"/>
    <mergeCell ref="J86:K86"/>
    <mergeCell ref="J79:K79"/>
    <mergeCell ref="H73:I73"/>
    <mergeCell ref="H74:I74"/>
    <mergeCell ref="H75:I75"/>
    <mergeCell ref="H76:I76"/>
    <mergeCell ref="H77:I77"/>
    <mergeCell ref="H87:I87"/>
    <mergeCell ref="H78:I78"/>
    <mergeCell ref="H79:I79"/>
    <mergeCell ref="H82:I82"/>
    <mergeCell ref="H83:I83"/>
    <mergeCell ref="H84:I84"/>
    <mergeCell ref="H85:I85"/>
    <mergeCell ref="F86:G86"/>
    <mergeCell ref="F87:G87"/>
    <mergeCell ref="F85:G85"/>
    <mergeCell ref="H86:I86"/>
    <mergeCell ref="F218:G218"/>
    <mergeCell ref="F219:G219"/>
    <mergeCell ref="F220:G220"/>
    <mergeCell ref="F221:G221"/>
    <mergeCell ref="F222:G222"/>
    <mergeCell ref="F223:G223"/>
    <mergeCell ref="D256:E256"/>
    <mergeCell ref="B256:B257"/>
    <mergeCell ref="C256:C257"/>
    <mergeCell ref="F256:F257"/>
    <mergeCell ref="F212:G212"/>
    <mergeCell ref="F213:G213"/>
    <mergeCell ref="F214:G214"/>
    <mergeCell ref="F215:G215"/>
    <mergeCell ref="F216:G216"/>
    <mergeCell ref="F217:G217"/>
    <mergeCell ref="J80:K80"/>
    <mergeCell ref="J81:K81"/>
    <mergeCell ref="J82:K82"/>
    <mergeCell ref="J83:K83"/>
    <mergeCell ref="J84:K84"/>
    <mergeCell ref="J85:K85"/>
    <mergeCell ref="H80:I80"/>
    <mergeCell ref="H81:I81"/>
    <mergeCell ref="A168:A169"/>
    <mergeCell ref="B168:B169"/>
    <mergeCell ref="C168:D168"/>
    <mergeCell ref="E168:F168"/>
    <mergeCell ref="I116:I117"/>
    <mergeCell ref="A140:A141"/>
    <mergeCell ref="B140:C140"/>
    <mergeCell ref="D140:E140"/>
    <mergeCell ref="A116:A117"/>
    <mergeCell ref="B116:B117"/>
    <mergeCell ref="C116:C117"/>
    <mergeCell ref="D116:H116"/>
    <mergeCell ref="E151:E152"/>
    <mergeCell ref="F151:F152"/>
    <mergeCell ref="A151:A152"/>
    <mergeCell ref="B151:B152"/>
    <mergeCell ref="C151:C152"/>
    <mergeCell ref="D151:D152"/>
    <mergeCell ref="M188:N188"/>
    <mergeCell ref="O188:P188"/>
    <mergeCell ref="A189:B189"/>
    <mergeCell ref="A190:A193"/>
    <mergeCell ref="A188:B188"/>
    <mergeCell ref="C188:D188"/>
    <mergeCell ref="E188:F188"/>
    <mergeCell ref="G188:H188"/>
    <mergeCell ref="I188:J188"/>
    <mergeCell ref="K188:L188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2012-11-20T20:03:14Z</dcterms:modified>
  <cp:category/>
  <cp:version/>
  <cp:contentType/>
  <cp:contentStatus/>
</cp:coreProperties>
</file>