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<sst xmlns="http://schemas.openxmlformats.org/spreadsheetml/2006/main" count="490" uniqueCount="256">
  <si>
    <t>окончание работы</t>
  </si>
  <si>
    <t>будн</t>
  </si>
  <si>
    <t>вых</t>
  </si>
  <si>
    <t>-</t>
  </si>
  <si>
    <t>Si</t>
  </si>
  <si>
    <t>Vi</t>
  </si>
  <si>
    <t>6:00-9:00</t>
  </si>
  <si>
    <t>9:00-15:00</t>
  </si>
  <si>
    <t>15:00-19:00</t>
  </si>
  <si>
    <t>19:00-22:00</t>
  </si>
  <si>
    <t>чпу ti, мин</t>
  </si>
  <si>
    <t>чпу ni, ед</t>
  </si>
  <si>
    <t>мпу ti, мин</t>
  </si>
  <si>
    <t>мпу ni, ед</t>
  </si>
  <si>
    <t>чпв ti, мин</t>
  </si>
  <si>
    <t>чпв ni, ед</t>
  </si>
  <si>
    <t>мпв ti, мин</t>
  </si>
  <si>
    <t>мпв ni, ед</t>
  </si>
  <si>
    <t>t</t>
  </si>
  <si>
    <t>после 22:00</t>
  </si>
  <si>
    <t>после  22:00</t>
  </si>
  <si>
    <t>Дг ti, мин</t>
  </si>
  <si>
    <t>Дг ni, ед</t>
  </si>
  <si>
    <t>сумма</t>
  </si>
  <si>
    <t>чпу Ti, маш. Ч.</t>
  </si>
  <si>
    <t>6:00-9:00 (3)</t>
  </si>
  <si>
    <t>9:00-15:00 (5)</t>
  </si>
  <si>
    <t>15:00-19:00 (4)</t>
  </si>
  <si>
    <t>19:00-22:00 (3)</t>
  </si>
  <si>
    <t>тау ДГ</t>
  </si>
  <si>
    <t>мпу Ti, маш. Ч.</t>
  </si>
  <si>
    <t>чпв Ti, маш. Ч.</t>
  </si>
  <si>
    <t>мпв Ti, маш. Ч.</t>
  </si>
  <si>
    <t>Дг Ti, маш. Ч.</t>
  </si>
  <si>
    <t>tccр</t>
  </si>
  <si>
    <t>tccв</t>
  </si>
  <si>
    <t>tcc</t>
  </si>
  <si>
    <t>nи</t>
  </si>
  <si>
    <t>Tсг, ч</t>
  </si>
  <si>
    <t>Tо, маш. ч</t>
  </si>
  <si>
    <t>чпу Li, мин</t>
  </si>
  <si>
    <t>мпу Li, мин</t>
  </si>
  <si>
    <t>чпв Li, мин</t>
  </si>
  <si>
    <t>мпв Li, мин</t>
  </si>
  <si>
    <t>Дг Li, мин</t>
  </si>
  <si>
    <t>Lp</t>
  </si>
  <si>
    <t>Lв</t>
  </si>
  <si>
    <t>Lccp</t>
  </si>
  <si>
    <t>np</t>
  </si>
  <si>
    <t>nв</t>
  </si>
  <si>
    <t>Lccв</t>
  </si>
  <si>
    <t>Lcc</t>
  </si>
  <si>
    <t>Др</t>
  </si>
  <si>
    <t>Дв</t>
  </si>
  <si>
    <t>L0</t>
  </si>
  <si>
    <t>Lcг</t>
  </si>
  <si>
    <t>пробег</t>
  </si>
  <si>
    <t>Qб</t>
  </si>
  <si>
    <t>Вид ремонта</t>
  </si>
  <si>
    <t>Q</t>
  </si>
  <si>
    <t>корректирующий коэффициент</t>
  </si>
  <si>
    <t>к1</t>
  </si>
  <si>
    <t>к2</t>
  </si>
  <si>
    <t>к3</t>
  </si>
  <si>
    <t>к4</t>
  </si>
  <si>
    <t>к5</t>
  </si>
  <si>
    <t>ТО-1</t>
  </si>
  <si>
    <t>ТО-2</t>
  </si>
  <si>
    <t>ТО-2(СО)</t>
  </si>
  <si>
    <t>ТР</t>
  </si>
  <si>
    <t>Вид рем. и осл.</t>
  </si>
  <si>
    <t>Количество</t>
  </si>
  <si>
    <t>1 трол.</t>
  </si>
  <si>
    <t>всего</t>
  </si>
  <si>
    <t>трудоемкость</t>
  </si>
  <si>
    <t>Tp</t>
  </si>
  <si>
    <t>Tв</t>
  </si>
  <si>
    <t>ni</t>
  </si>
  <si>
    <t>Норматив. прод. Рем</t>
  </si>
  <si>
    <t>время затрач, на рем.</t>
  </si>
  <si>
    <t>время нах. Рем.</t>
  </si>
  <si>
    <t>время кт, ПС не раб.</t>
  </si>
  <si>
    <t>niф то-2</t>
  </si>
  <si>
    <t>niф то-1</t>
  </si>
  <si>
    <t>niф тр</t>
  </si>
  <si>
    <t>niф то-2 мах</t>
  </si>
  <si>
    <t>niф то-2 мin</t>
  </si>
  <si>
    <t>Дмин</t>
  </si>
  <si>
    <t>Дмах</t>
  </si>
  <si>
    <t>niф то-1 мах</t>
  </si>
  <si>
    <t>niф то-1 мin</t>
  </si>
  <si>
    <t>niф тр мах</t>
  </si>
  <si>
    <t>niф тр мin</t>
  </si>
  <si>
    <t>nф</t>
  </si>
  <si>
    <r>
      <t xml:space="preserve">   α</t>
    </r>
    <r>
      <rPr>
        <sz val="11"/>
        <color indexed="8"/>
        <rFont val="Calibri"/>
        <family val="2"/>
      </rPr>
      <t>вр</t>
    </r>
  </si>
  <si>
    <t xml:space="preserve">  αврг</t>
  </si>
  <si>
    <t>Tео</t>
  </si>
  <si>
    <t>Tε   ео</t>
  </si>
  <si>
    <t>nε</t>
  </si>
  <si>
    <t>tсм</t>
  </si>
  <si>
    <t>nбр</t>
  </si>
  <si>
    <t>n</t>
  </si>
  <si>
    <t>сутки</t>
  </si>
  <si>
    <t>время смены</t>
  </si>
  <si>
    <t>8.00</t>
  </si>
  <si>
    <t>19.00</t>
  </si>
  <si>
    <t>Бригады nбр</t>
  </si>
  <si>
    <t>ЕО</t>
  </si>
  <si>
    <t>ЗР</t>
  </si>
  <si>
    <t>Чвя</t>
  </si>
  <si>
    <t>Кн</t>
  </si>
  <si>
    <t>Кнб</t>
  </si>
  <si>
    <t>Чнс</t>
  </si>
  <si>
    <t>Чвс</t>
  </si>
  <si>
    <t>nεбр</t>
  </si>
  <si>
    <t>Чртр</t>
  </si>
  <si>
    <t>Фр</t>
  </si>
  <si>
    <t>tp</t>
  </si>
  <si>
    <t>tп</t>
  </si>
  <si>
    <t>Дп</t>
  </si>
  <si>
    <t>Чрто-2</t>
  </si>
  <si>
    <t>Чрто-1</t>
  </si>
  <si>
    <t>ЧрЕО</t>
  </si>
  <si>
    <t>nЕО</t>
  </si>
  <si>
    <t>nД</t>
  </si>
  <si>
    <t>nтрЕО</t>
  </si>
  <si>
    <t>nнр</t>
  </si>
  <si>
    <t>pнр</t>
  </si>
  <si>
    <t>tнр</t>
  </si>
  <si>
    <t>tc</t>
  </si>
  <si>
    <t>nнрф</t>
  </si>
  <si>
    <t>Lму</t>
  </si>
  <si>
    <t>L2</t>
  </si>
  <si>
    <t>L3</t>
  </si>
  <si>
    <t>Lпс</t>
  </si>
  <si>
    <t>Lмт</t>
  </si>
  <si>
    <t>L1</t>
  </si>
  <si>
    <t>Ап</t>
  </si>
  <si>
    <t>nтрм</t>
  </si>
  <si>
    <t>Тм</t>
  </si>
  <si>
    <t>nтр</t>
  </si>
  <si>
    <t>nтрк</t>
  </si>
  <si>
    <t>тау тр</t>
  </si>
  <si>
    <t>наименование уч. Или отделения</t>
  </si>
  <si>
    <t>Ая</t>
  </si>
  <si>
    <t>Удельная площадь</t>
  </si>
  <si>
    <t>f1</t>
  </si>
  <si>
    <t>f0</t>
  </si>
  <si>
    <t>Fп</t>
  </si>
  <si>
    <t>агрегатное</t>
  </si>
  <si>
    <t>электротехническое</t>
  </si>
  <si>
    <t>кузнечно-рессорное</t>
  </si>
  <si>
    <t>сварочное</t>
  </si>
  <si>
    <t>столярное</t>
  </si>
  <si>
    <t>обойное</t>
  </si>
  <si>
    <t>слесарно- кузовное</t>
  </si>
  <si>
    <t>слесарно- механическое</t>
  </si>
  <si>
    <t>аккумуляторное</t>
  </si>
  <si>
    <t>шиномонтажное</t>
  </si>
  <si>
    <t>Чр</t>
  </si>
  <si>
    <t>Vk</t>
  </si>
  <si>
    <t>vk</t>
  </si>
  <si>
    <t>nкомп</t>
  </si>
  <si>
    <t>v</t>
  </si>
  <si>
    <t>Fk</t>
  </si>
  <si>
    <t>fk</t>
  </si>
  <si>
    <t xml:space="preserve">7.1 Площадь помещений трансформаторной подстанции </t>
  </si>
  <si>
    <t>7.2 площадь трансформаторной подстанции</t>
  </si>
  <si>
    <t>Pст</t>
  </si>
  <si>
    <t>р</t>
  </si>
  <si>
    <t>nст</t>
  </si>
  <si>
    <t>Fт</t>
  </si>
  <si>
    <t>fт</t>
  </si>
  <si>
    <t>7.3 площадь маслораздаточной</t>
  </si>
  <si>
    <t>Fм</t>
  </si>
  <si>
    <t>fм</t>
  </si>
  <si>
    <t>7.4 площадь главной кладовой</t>
  </si>
  <si>
    <t>Fкл</t>
  </si>
  <si>
    <t>fкл</t>
  </si>
  <si>
    <t>7.5 площадь закрытой стоянки для автотранспорта</t>
  </si>
  <si>
    <t>Fст</t>
  </si>
  <si>
    <t>nавт</t>
  </si>
  <si>
    <t>fавт</t>
  </si>
  <si>
    <t>fмаст</t>
  </si>
  <si>
    <t>7.7 площадь кладовой резины</t>
  </si>
  <si>
    <t>L</t>
  </si>
  <si>
    <t>Lсг</t>
  </si>
  <si>
    <t>n3</t>
  </si>
  <si>
    <t>lп</t>
  </si>
  <si>
    <t>nоз</t>
  </si>
  <si>
    <t>k1</t>
  </si>
  <si>
    <t>nозп</t>
  </si>
  <si>
    <t>nозк</t>
  </si>
  <si>
    <t>fп</t>
  </si>
  <si>
    <t>fк</t>
  </si>
  <si>
    <t>8.1 гардероб</t>
  </si>
  <si>
    <t>A1</t>
  </si>
  <si>
    <t>nбрмах</t>
  </si>
  <si>
    <t>Aгв</t>
  </si>
  <si>
    <t>Ас</t>
  </si>
  <si>
    <t>Sгв</t>
  </si>
  <si>
    <t>fгв</t>
  </si>
  <si>
    <t>8.2 гардеробная для индивил. хран. одежды</t>
  </si>
  <si>
    <t>Spм</t>
  </si>
  <si>
    <t>Sрж</t>
  </si>
  <si>
    <t>Аг</t>
  </si>
  <si>
    <t>fг</t>
  </si>
  <si>
    <t xml:space="preserve">8.3 душевые </t>
  </si>
  <si>
    <t>Sдм</t>
  </si>
  <si>
    <t>Sдж</t>
  </si>
  <si>
    <t>fд</t>
  </si>
  <si>
    <t>8.4 умывальные</t>
  </si>
  <si>
    <t>Sум</t>
  </si>
  <si>
    <t>Sуж</t>
  </si>
  <si>
    <t>fу</t>
  </si>
  <si>
    <t>8.5 уборная</t>
  </si>
  <si>
    <t>Sубм</t>
  </si>
  <si>
    <t>Sубж</t>
  </si>
  <si>
    <t>fуб</t>
  </si>
  <si>
    <t>8.6 зал для собраний</t>
  </si>
  <si>
    <t>S3</t>
  </si>
  <si>
    <t>f3</t>
  </si>
  <si>
    <t>8.7 помешен. для вод. ожид. наряда</t>
  </si>
  <si>
    <t>Su</t>
  </si>
  <si>
    <t>fu</t>
  </si>
  <si>
    <t>ч</t>
  </si>
  <si>
    <t>маш-ч</t>
  </si>
  <si>
    <t>ед</t>
  </si>
  <si>
    <t>км</t>
  </si>
  <si>
    <t>маш-км</t>
  </si>
  <si>
    <t>мин</t>
  </si>
  <si>
    <t>1.1 Потребное количество машин на маршрутах</t>
  </si>
  <si>
    <t>1.2 Машиночасы в движении</t>
  </si>
  <si>
    <t>1.3 Машини-километры пробега</t>
  </si>
  <si>
    <t>Среднегодовой показатель</t>
  </si>
  <si>
    <t>2. Программа планового ремонта и обслуживания подвижного состава</t>
  </si>
  <si>
    <t>программа ремонтов и обслуживаний за плановый период</t>
  </si>
  <si>
    <t>производственный план депо</t>
  </si>
  <si>
    <t>Время нахождения машин в ремонте и обслуживании</t>
  </si>
  <si>
    <t>Инвентарный план депо</t>
  </si>
  <si>
    <t>3. Распределение обслуживаний и ремонтов по месту и времени проведения</t>
  </si>
  <si>
    <t>Схема работы бригад ЕО и ЗР</t>
  </si>
  <si>
    <t>чел.</t>
  </si>
  <si>
    <t>чел*ч</t>
  </si>
  <si>
    <t>чел</t>
  </si>
  <si>
    <t>5.2 Численность рабочих занятых ремонтом и обслуживанием ПС</t>
  </si>
  <si>
    <t>Чрвсп</t>
  </si>
  <si>
    <t>квсп</t>
  </si>
  <si>
    <t>6. Расчет площади производственных помещений</t>
  </si>
  <si>
    <t>трол.</t>
  </si>
  <si>
    <t>мест</t>
  </si>
  <si>
    <t>м</t>
  </si>
  <si>
    <t>6.2 Расчет кузовного и малярного отделения</t>
  </si>
  <si>
    <t>места</t>
  </si>
  <si>
    <t>6.3 Расчет площади производственных мастерских</t>
  </si>
  <si>
    <t>м^2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</si>
</sst>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16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165" fontId="0" fillId="34" borderId="13" xfId="0" applyNumberFormat="1" applyFill="1" applyBorder="1" applyAlignment="1">
      <alignment horizontal="center" vertical="center" wrapText="1"/>
    </xf>
    <xf numFmtId="165" fontId="0" fillId="34" borderId="12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0" fontId="0" fillId="34" borderId="10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69"/>
  <sheetViews>
    <sheetView tabSelected="1" zoomScalePageLayoutView="0" workbookViewId="0" topLeftCell="A244">
      <selection activeCell="H268" sqref="H268"/>
    </sheetView>
  </sheetViews>
  <sheetFormatPr defaultColWidth="9.140625" defaultRowHeight="15"/>
  <cols>
    <col min="2" max="2" width="13.8515625" style="0" customWidth="1"/>
    <col min="3" max="3" width="12.8515625" style="0" customWidth="1"/>
    <col min="4" max="4" width="17.8515625" style="0" customWidth="1"/>
    <col min="5" max="5" width="29.00390625" style="0" customWidth="1"/>
    <col min="6" max="6" width="14.00390625" style="0" customWidth="1"/>
    <col min="7" max="7" width="13.57421875" style="0" customWidth="1"/>
    <col min="8" max="8" width="11.8515625" style="0" customWidth="1"/>
    <col min="9" max="9" width="10.421875" style="0" customWidth="1"/>
    <col min="10" max="10" width="11.140625" style="0" customWidth="1"/>
  </cols>
  <sheetData>
    <row r="2" spans="4:12" ht="15">
      <c r="D2" s="27" t="s">
        <v>231</v>
      </c>
      <c r="E2" s="27"/>
      <c r="F2" s="27"/>
      <c r="G2" s="27"/>
      <c r="H2" s="27"/>
      <c r="I2" s="27"/>
      <c r="J2" s="27"/>
      <c r="K2" s="27"/>
      <c r="L2" s="27"/>
    </row>
    <row r="3" spans="3:27" ht="12" customHeight="1">
      <c r="C3" s="43" t="s">
        <v>0</v>
      </c>
      <c r="D3" s="43"/>
      <c r="E3" s="37" t="s">
        <v>4</v>
      </c>
      <c r="F3" s="37" t="s">
        <v>5</v>
      </c>
      <c r="G3" s="37" t="s">
        <v>18</v>
      </c>
      <c r="H3" s="37" t="s">
        <v>6</v>
      </c>
      <c r="I3" s="37"/>
      <c r="J3" s="37"/>
      <c r="K3" s="37"/>
      <c r="L3" s="37" t="s">
        <v>7</v>
      </c>
      <c r="M3" s="37"/>
      <c r="N3" s="37"/>
      <c r="O3" s="37"/>
      <c r="P3" s="37" t="s">
        <v>8</v>
      </c>
      <c r="Q3" s="37"/>
      <c r="R3" s="37"/>
      <c r="S3" s="37"/>
      <c r="T3" s="37" t="s">
        <v>9</v>
      </c>
      <c r="U3" s="37"/>
      <c r="V3" s="37"/>
      <c r="W3" s="37"/>
      <c r="X3" s="37" t="s">
        <v>20</v>
      </c>
      <c r="Y3" s="37"/>
      <c r="Z3" s="37"/>
      <c r="AA3" s="37"/>
    </row>
    <row r="4" spans="3:27" ht="30" customHeight="1">
      <c r="C4" s="16" t="s">
        <v>1</v>
      </c>
      <c r="D4" s="16" t="s">
        <v>2</v>
      </c>
      <c r="E4" s="37"/>
      <c r="F4" s="37"/>
      <c r="G4" s="37"/>
      <c r="H4" s="43" t="s">
        <v>10</v>
      </c>
      <c r="I4" s="43"/>
      <c r="J4" s="43" t="s">
        <v>11</v>
      </c>
      <c r="K4" s="43"/>
      <c r="L4" s="43" t="s">
        <v>12</v>
      </c>
      <c r="M4" s="43"/>
      <c r="N4" s="43" t="s">
        <v>13</v>
      </c>
      <c r="O4" s="43"/>
      <c r="P4" s="43" t="s">
        <v>14</v>
      </c>
      <c r="Q4" s="43"/>
      <c r="R4" s="43" t="s">
        <v>15</v>
      </c>
      <c r="S4" s="43"/>
      <c r="T4" s="43" t="s">
        <v>16</v>
      </c>
      <c r="U4" s="43"/>
      <c r="V4" s="43" t="s">
        <v>17</v>
      </c>
      <c r="W4" s="43"/>
      <c r="X4" s="43" t="s">
        <v>21</v>
      </c>
      <c r="Y4" s="43"/>
      <c r="Z4" s="43" t="s">
        <v>22</v>
      </c>
      <c r="AA4" s="43"/>
    </row>
    <row r="5" spans="3:27" ht="15">
      <c r="C5" s="13">
        <v>0.7937500000000001</v>
      </c>
      <c r="D5" s="13" t="s">
        <v>3</v>
      </c>
      <c r="E5" s="6">
        <v>24.8</v>
      </c>
      <c r="F5" s="6">
        <f>(E5/G5)*60</f>
        <v>18.835443037974684</v>
      </c>
      <c r="G5" s="6">
        <v>79</v>
      </c>
      <c r="H5" s="12">
        <v>16</v>
      </c>
      <c r="I5" s="12">
        <v>0</v>
      </c>
      <c r="J5" s="3">
        <f>G5/H5</f>
        <v>4.9375</v>
      </c>
      <c r="K5" s="3" t="s">
        <v>3</v>
      </c>
      <c r="L5" s="4">
        <v>0</v>
      </c>
      <c r="M5" s="4">
        <v>0</v>
      </c>
      <c r="N5" s="4" t="s">
        <v>3</v>
      </c>
      <c r="O5" s="4" t="s">
        <v>3</v>
      </c>
      <c r="P5" s="4">
        <v>20</v>
      </c>
      <c r="Q5" s="4">
        <v>0</v>
      </c>
      <c r="R5" s="3">
        <f>G5/P5</f>
        <v>3.95</v>
      </c>
      <c r="S5" s="3" t="s">
        <v>3</v>
      </c>
      <c r="T5" s="4">
        <v>0</v>
      </c>
      <c r="U5" s="4">
        <v>0</v>
      </c>
      <c r="V5" s="3" t="s">
        <v>3</v>
      </c>
      <c r="W5" s="3" t="s">
        <v>3</v>
      </c>
      <c r="X5" s="4">
        <v>0</v>
      </c>
      <c r="Y5" s="4">
        <v>0</v>
      </c>
      <c r="Z5" s="4" t="s">
        <v>3</v>
      </c>
      <c r="AA5" s="4" t="s">
        <v>3</v>
      </c>
    </row>
    <row r="6" spans="3:27" ht="15">
      <c r="C6" s="13">
        <v>0.07361111111111111</v>
      </c>
      <c r="D6" s="13">
        <v>0.07430555555555556</v>
      </c>
      <c r="E6" s="6">
        <v>31.4</v>
      </c>
      <c r="F6" s="6">
        <f aca="true" t="shared" si="0" ref="F6:F13">(E6/G6)*60</f>
        <v>17.284403669724767</v>
      </c>
      <c r="G6" s="6">
        <v>109</v>
      </c>
      <c r="H6" s="12">
        <v>4</v>
      </c>
      <c r="I6" s="12">
        <v>4</v>
      </c>
      <c r="J6" s="3">
        <f aca="true" t="shared" si="1" ref="J6:J13">G6/H6</f>
        <v>27.25</v>
      </c>
      <c r="K6" s="3">
        <f aca="true" t="shared" si="2" ref="K6:K13">G6/I6</f>
        <v>27.25</v>
      </c>
      <c r="L6" s="4">
        <v>6</v>
      </c>
      <c r="M6" s="4">
        <v>4</v>
      </c>
      <c r="N6" s="4">
        <f aca="true" t="shared" si="3" ref="N6:N13">G6/L6</f>
        <v>18.166666666666668</v>
      </c>
      <c r="O6" s="4">
        <f aca="true" t="shared" si="4" ref="O6:O13">G6/M6</f>
        <v>27.25</v>
      </c>
      <c r="P6" s="4">
        <v>4</v>
      </c>
      <c r="Q6" s="4">
        <v>4</v>
      </c>
      <c r="R6" s="3">
        <f aca="true" t="shared" si="5" ref="R6:R13">G6/P6</f>
        <v>27.25</v>
      </c>
      <c r="S6" s="3">
        <f aca="true" t="shared" si="6" ref="S6:S13">G6/Q6</f>
        <v>27.25</v>
      </c>
      <c r="T6" s="4">
        <v>14</v>
      </c>
      <c r="U6" s="4">
        <v>8</v>
      </c>
      <c r="V6" s="3">
        <f aca="true" t="shared" si="7" ref="V6:V13">G6/T6</f>
        <v>7.785714285714286</v>
      </c>
      <c r="W6" s="3">
        <f aca="true" t="shared" si="8" ref="W6:W13">G6/U6</f>
        <v>13.625</v>
      </c>
      <c r="X6" s="4">
        <v>22</v>
      </c>
      <c r="Y6" s="4">
        <v>22</v>
      </c>
      <c r="Z6" s="4">
        <f aca="true" t="shared" si="9" ref="Z6:Z13">G6/X6</f>
        <v>4.954545454545454</v>
      </c>
      <c r="AA6" s="4">
        <f aca="true" t="shared" si="10" ref="AA6:AA13">G6/Y6</f>
        <v>4.954545454545454</v>
      </c>
    </row>
    <row r="7" spans="3:27" ht="15">
      <c r="C7" s="13">
        <v>0.024305555555555556</v>
      </c>
      <c r="D7" s="13">
        <v>0.024305555555555556</v>
      </c>
      <c r="E7" s="6">
        <v>21.7</v>
      </c>
      <c r="F7" s="6">
        <f t="shared" si="0"/>
        <v>19.432835820895523</v>
      </c>
      <c r="G7" s="6">
        <v>67</v>
      </c>
      <c r="H7" s="12">
        <v>5</v>
      </c>
      <c r="I7" s="12">
        <v>13</v>
      </c>
      <c r="J7" s="3">
        <f t="shared" si="1"/>
        <v>13.4</v>
      </c>
      <c r="K7" s="3">
        <f t="shared" si="2"/>
        <v>5.153846153846154</v>
      </c>
      <c r="L7" s="4">
        <v>13</v>
      </c>
      <c r="M7" s="4">
        <v>13</v>
      </c>
      <c r="N7" s="4">
        <f t="shared" si="3"/>
        <v>5.153846153846154</v>
      </c>
      <c r="O7" s="4">
        <f t="shared" si="4"/>
        <v>5.153846153846154</v>
      </c>
      <c r="P7" s="4">
        <v>5</v>
      </c>
      <c r="Q7" s="4">
        <v>13</v>
      </c>
      <c r="R7" s="3">
        <f t="shared" si="5"/>
        <v>13.4</v>
      </c>
      <c r="S7" s="3">
        <f t="shared" si="6"/>
        <v>5.153846153846154</v>
      </c>
      <c r="T7" s="4">
        <v>13</v>
      </c>
      <c r="U7" s="4">
        <v>13</v>
      </c>
      <c r="V7" s="3">
        <f t="shared" si="7"/>
        <v>5.153846153846154</v>
      </c>
      <c r="W7" s="3">
        <f t="shared" si="8"/>
        <v>5.153846153846154</v>
      </c>
      <c r="X7" s="4">
        <v>13</v>
      </c>
      <c r="Y7" s="4">
        <v>13</v>
      </c>
      <c r="Z7" s="4">
        <f t="shared" si="9"/>
        <v>5.153846153846154</v>
      </c>
      <c r="AA7" s="4">
        <f t="shared" si="10"/>
        <v>5.153846153846154</v>
      </c>
    </row>
    <row r="8" spans="3:27" ht="15">
      <c r="C8" s="13">
        <v>0.06319444444444444</v>
      </c>
      <c r="D8" s="13">
        <v>0.0763888888888889</v>
      </c>
      <c r="E8" s="6">
        <v>30.9</v>
      </c>
      <c r="F8" s="6">
        <f t="shared" si="0"/>
        <v>16.4070796460177</v>
      </c>
      <c r="G8" s="6">
        <v>113</v>
      </c>
      <c r="H8" s="12">
        <v>6</v>
      </c>
      <c r="I8" s="12">
        <v>8</v>
      </c>
      <c r="J8" s="3">
        <f t="shared" si="1"/>
        <v>18.833333333333332</v>
      </c>
      <c r="K8" s="3">
        <f t="shared" si="2"/>
        <v>14.125</v>
      </c>
      <c r="L8" s="4">
        <v>8</v>
      </c>
      <c r="M8" s="4">
        <v>8</v>
      </c>
      <c r="N8" s="4">
        <f t="shared" si="3"/>
        <v>14.125</v>
      </c>
      <c r="O8" s="4">
        <f t="shared" si="4"/>
        <v>14.125</v>
      </c>
      <c r="P8" s="4">
        <v>6</v>
      </c>
      <c r="Q8" s="4">
        <v>8</v>
      </c>
      <c r="R8" s="3">
        <f t="shared" si="5"/>
        <v>18.833333333333332</v>
      </c>
      <c r="S8" s="3">
        <f t="shared" si="6"/>
        <v>14.125</v>
      </c>
      <c r="T8" s="4">
        <v>23</v>
      </c>
      <c r="U8" s="4">
        <v>16</v>
      </c>
      <c r="V8" s="3">
        <f t="shared" si="7"/>
        <v>4.913043478260869</v>
      </c>
      <c r="W8" s="3">
        <f t="shared" si="8"/>
        <v>7.0625</v>
      </c>
      <c r="X8" s="4">
        <v>23</v>
      </c>
      <c r="Y8" s="4">
        <v>23</v>
      </c>
      <c r="Z8" s="4">
        <f t="shared" si="9"/>
        <v>4.913043478260869</v>
      </c>
      <c r="AA8" s="4">
        <f t="shared" si="10"/>
        <v>4.913043478260869</v>
      </c>
    </row>
    <row r="9" spans="3:27" ht="15" customHeight="1">
      <c r="C9" s="13">
        <v>0.06388888888888888</v>
      </c>
      <c r="D9" s="13">
        <v>0.06458333333333334</v>
      </c>
      <c r="E9" s="6">
        <v>33.1</v>
      </c>
      <c r="F9" s="6">
        <f t="shared" si="0"/>
        <v>18.220183486238533</v>
      </c>
      <c r="G9" s="6">
        <v>109</v>
      </c>
      <c r="H9" s="12">
        <v>5</v>
      </c>
      <c r="I9" s="12">
        <v>7</v>
      </c>
      <c r="J9" s="3">
        <f t="shared" si="1"/>
        <v>21.8</v>
      </c>
      <c r="K9" s="3">
        <f t="shared" si="2"/>
        <v>15.571428571428571</v>
      </c>
      <c r="L9" s="4">
        <v>10</v>
      </c>
      <c r="M9" s="4">
        <v>7</v>
      </c>
      <c r="N9" s="4">
        <f t="shared" si="3"/>
        <v>10.9</v>
      </c>
      <c r="O9" s="4">
        <f t="shared" si="4"/>
        <v>15.571428571428571</v>
      </c>
      <c r="P9" s="4">
        <v>5</v>
      </c>
      <c r="Q9" s="4">
        <v>7</v>
      </c>
      <c r="R9" s="3">
        <f t="shared" si="5"/>
        <v>21.8</v>
      </c>
      <c r="S9" s="3">
        <f t="shared" si="6"/>
        <v>15.571428571428571</v>
      </c>
      <c r="T9" s="4">
        <v>14</v>
      </c>
      <c r="U9" s="4">
        <v>14</v>
      </c>
      <c r="V9" s="3">
        <f t="shared" si="7"/>
        <v>7.785714285714286</v>
      </c>
      <c r="W9" s="3">
        <f t="shared" si="8"/>
        <v>7.785714285714286</v>
      </c>
      <c r="X9" s="4">
        <v>18</v>
      </c>
      <c r="Y9" s="4">
        <v>18</v>
      </c>
      <c r="Z9" s="4">
        <f t="shared" si="9"/>
        <v>6.055555555555555</v>
      </c>
      <c r="AA9" s="4">
        <f t="shared" si="10"/>
        <v>6.055555555555555</v>
      </c>
    </row>
    <row r="10" spans="3:27" ht="15">
      <c r="C10" s="13">
        <v>0.8173611111111111</v>
      </c>
      <c r="D10" s="13" t="s">
        <v>3</v>
      </c>
      <c r="E10" s="6">
        <v>24.3</v>
      </c>
      <c r="F10" s="6">
        <f t="shared" si="0"/>
        <v>18.692307692307693</v>
      </c>
      <c r="G10" s="6">
        <v>78</v>
      </c>
      <c r="H10" s="12">
        <v>16</v>
      </c>
      <c r="I10" s="12">
        <v>0</v>
      </c>
      <c r="J10" s="3">
        <f t="shared" si="1"/>
        <v>4.875</v>
      </c>
      <c r="K10" s="3" t="s">
        <v>3</v>
      </c>
      <c r="L10" s="4">
        <v>0</v>
      </c>
      <c r="M10" s="4">
        <v>0</v>
      </c>
      <c r="N10" s="4" t="s">
        <v>3</v>
      </c>
      <c r="O10" s="4" t="s">
        <v>3</v>
      </c>
      <c r="P10" s="4">
        <v>16</v>
      </c>
      <c r="Q10" s="4">
        <v>0</v>
      </c>
      <c r="R10" s="3">
        <f t="shared" si="5"/>
        <v>4.875</v>
      </c>
      <c r="S10" s="3" t="s">
        <v>3</v>
      </c>
      <c r="T10" s="4">
        <v>0</v>
      </c>
      <c r="U10" s="4">
        <v>0</v>
      </c>
      <c r="V10" s="3" t="s">
        <v>3</v>
      </c>
      <c r="W10" s="3" t="s">
        <v>3</v>
      </c>
      <c r="X10" s="4">
        <v>0</v>
      </c>
      <c r="Y10" s="4">
        <v>0</v>
      </c>
      <c r="Z10" s="4" t="s">
        <v>3</v>
      </c>
      <c r="AA10" s="4" t="s">
        <v>3</v>
      </c>
    </row>
    <row r="11" spans="3:27" ht="15">
      <c r="C11" s="13">
        <v>0.7881944444444445</v>
      </c>
      <c r="D11" s="13" t="s">
        <v>3</v>
      </c>
      <c r="E11" s="6">
        <v>30.5</v>
      </c>
      <c r="F11" s="6">
        <f t="shared" si="0"/>
        <v>17.941176470588236</v>
      </c>
      <c r="G11" s="6">
        <v>102</v>
      </c>
      <c r="H11" s="12">
        <v>26</v>
      </c>
      <c r="I11" s="12">
        <v>0</v>
      </c>
      <c r="J11" s="3">
        <f t="shared" si="1"/>
        <v>3.923076923076923</v>
      </c>
      <c r="K11" s="3" t="s">
        <v>3</v>
      </c>
      <c r="L11" s="4">
        <v>0</v>
      </c>
      <c r="M11" s="4">
        <v>0</v>
      </c>
      <c r="N11" s="4" t="s">
        <v>3</v>
      </c>
      <c r="O11" s="4" t="s">
        <v>3</v>
      </c>
      <c r="P11" s="4">
        <v>26</v>
      </c>
      <c r="Q11" s="4">
        <v>0</v>
      </c>
      <c r="R11" s="3">
        <f t="shared" si="5"/>
        <v>3.923076923076923</v>
      </c>
      <c r="S11" s="3" t="s">
        <v>3</v>
      </c>
      <c r="T11" s="4">
        <v>0</v>
      </c>
      <c r="U11" s="4">
        <v>0</v>
      </c>
      <c r="V11" s="3" t="s">
        <v>3</v>
      </c>
      <c r="W11" s="3" t="s">
        <v>3</v>
      </c>
      <c r="X11" s="4">
        <v>0</v>
      </c>
      <c r="Y11" s="4">
        <v>0</v>
      </c>
      <c r="Z11" s="4" t="s">
        <v>3</v>
      </c>
      <c r="AA11" s="4" t="s">
        <v>3</v>
      </c>
    </row>
    <row r="12" spans="3:27" ht="15">
      <c r="C12" s="13">
        <v>0.8263888888888888</v>
      </c>
      <c r="D12" s="13">
        <v>0.6875</v>
      </c>
      <c r="E12" s="6">
        <v>25.5</v>
      </c>
      <c r="F12" s="6">
        <f t="shared" si="0"/>
        <v>17.386363636363637</v>
      </c>
      <c r="G12" s="6">
        <v>88</v>
      </c>
      <c r="H12" s="12">
        <v>29</v>
      </c>
      <c r="I12" s="12">
        <v>44</v>
      </c>
      <c r="J12" s="3">
        <f t="shared" si="1"/>
        <v>3.0344827586206895</v>
      </c>
      <c r="K12" s="3">
        <f t="shared" si="2"/>
        <v>2</v>
      </c>
      <c r="L12" s="4">
        <v>29</v>
      </c>
      <c r="M12" s="4">
        <v>44</v>
      </c>
      <c r="N12" s="4">
        <f t="shared" si="3"/>
        <v>3.0344827586206895</v>
      </c>
      <c r="O12" s="4">
        <f t="shared" si="4"/>
        <v>2</v>
      </c>
      <c r="P12" s="4">
        <v>29</v>
      </c>
      <c r="Q12" s="4">
        <v>44</v>
      </c>
      <c r="R12" s="3">
        <f t="shared" si="5"/>
        <v>3.0344827586206895</v>
      </c>
      <c r="S12" s="3">
        <f t="shared" si="6"/>
        <v>2</v>
      </c>
      <c r="T12" s="4">
        <v>29</v>
      </c>
      <c r="U12" s="4">
        <v>88</v>
      </c>
      <c r="V12" s="3">
        <f t="shared" si="7"/>
        <v>3.0344827586206895</v>
      </c>
      <c r="W12" s="3">
        <f t="shared" si="8"/>
        <v>1</v>
      </c>
      <c r="X12" s="4">
        <v>0</v>
      </c>
      <c r="Y12" s="4">
        <v>0</v>
      </c>
      <c r="Z12" s="4" t="s">
        <v>3</v>
      </c>
      <c r="AA12" s="4" t="s">
        <v>3</v>
      </c>
    </row>
    <row r="13" spans="3:27" ht="15">
      <c r="C13" s="13">
        <v>0.9375</v>
      </c>
      <c r="D13" s="13">
        <v>0.9125</v>
      </c>
      <c r="E13" s="6">
        <v>19.1</v>
      </c>
      <c r="F13" s="6">
        <f t="shared" si="0"/>
        <v>17.104477611940297</v>
      </c>
      <c r="G13" s="6">
        <v>67</v>
      </c>
      <c r="H13" s="12">
        <v>22</v>
      </c>
      <c r="I13" s="12">
        <v>17</v>
      </c>
      <c r="J13" s="3">
        <f t="shared" si="1"/>
        <v>3.0454545454545454</v>
      </c>
      <c r="K13" s="3">
        <f t="shared" si="2"/>
        <v>3.9411764705882355</v>
      </c>
      <c r="L13" s="4">
        <v>22</v>
      </c>
      <c r="M13" s="4">
        <v>17</v>
      </c>
      <c r="N13" s="4">
        <f t="shared" si="3"/>
        <v>3.0454545454545454</v>
      </c>
      <c r="O13" s="4">
        <f t="shared" si="4"/>
        <v>3.9411764705882355</v>
      </c>
      <c r="P13" s="4">
        <v>34</v>
      </c>
      <c r="Q13" s="4">
        <v>17</v>
      </c>
      <c r="R13" s="3">
        <f t="shared" si="5"/>
        <v>1.9705882352941178</v>
      </c>
      <c r="S13" s="3">
        <f t="shared" si="6"/>
        <v>3.9411764705882355</v>
      </c>
      <c r="T13" s="4">
        <v>34</v>
      </c>
      <c r="U13" s="4">
        <v>34</v>
      </c>
      <c r="V13" s="3">
        <f t="shared" si="7"/>
        <v>1.9705882352941178</v>
      </c>
      <c r="W13" s="3">
        <f t="shared" si="8"/>
        <v>1.9705882352941178</v>
      </c>
      <c r="X13" s="4">
        <v>67</v>
      </c>
      <c r="Y13" s="4">
        <v>67</v>
      </c>
      <c r="Z13" s="4">
        <f t="shared" si="9"/>
        <v>1</v>
      </c>
      <c r="AA13" s="4">
        <f t="shared" si="10"/>
        <v>1</v>
      </c>
    </row>
    <row r="14" spans="3:27" ht="15">
      <c r="C14" s="50" t="s">
        <v>23</v>
      </c>
      <c r="D14" s="50"/>
      <c r="E14" s="50"/>
      <c r="F14" s="50"/>
      <c r="G14" s="50"/>
      <c r="H14" s="50"/>
      <c r="I14" s="50"/>
      <c r="J14" s="6">
        <f>SUM(J5:J13)</f>
        <v>101.09884756048548</v>
      </c>
      <c r="K14" s="6">
        <f>SUM(K5:K13)</f>
        <v>68.04145119586295</v>
      </c>
      <c r="L14" s="51"/>
      <c r="M14" s="52"/>
      <c r="N14" s="6">
        <f>SUM(N5:N13)</f>
        <v>54.42545012458805</v>
      </c>
      <c r="O14" s="6">
        <f>SUM(O5:O13)</f>
        <v>68.04145119586295</v>
      </c>
      <c r="P14" s="51"/>
      <c r="Q14" s="52"/>
      <c r="R14" s="6">
        <f>SUM(R5:R13)</f>
        <v>99.03648125032505</v>
      </c>
      <c r="S14" s="6">
        <f>SUM(S5:S13)</f>
        <v>68.04145119586295</v>
      </c>
      <c r="T14" s="51"/>
      <c r="U14" s="52"/>
      <c r="V14" s="6">
        <f>SUM(V5:V13)</f>
        <v>30.643389197450404</v>
      </c>
      <c r="W14" s="6">
        <f>SUM(W5:W13)</f>
        <v>36.597648674854554</v>
      </c>
      <c r="X14" s="51"/>
      <c r="Y14" s="52"/>
      <c r="Z14" s="6">
        <f>SUM(Z5:Z13)</f>
        <v>22.07699064220803</v>
      </c>
      <c r="AA14" s="6">
        <f>SUM(AA5:AA13)</f>
        <v>22.07699064220803</v>
      </c>
    </row>
    <row r="16" spans="4:7" ht="15">
      <c r="D16" s="18" t="s">
        <v>48</v>
      </c>
      <c r="E16" s="17">
        <f>MAX(J14,N14,R14,V14,Z14)</f>
        <v>101.09884756048548</v>
      </c>
      <c r="F16" s="18" t="s">
        <v>49</v>
      </c>
      <c r="G16" s="6">
        <f>MAX(K14,O14,S14,W14,AA14)</f>
        <v>68.04145119586295</v>
      </c>
    </row>
    <row r="18" spans="4:25" ht="15">
      <c r="D18" s="53" t="s">
        <v>25</v>
      </c>
      <c r="E18" s="53"/>
      <c r="F18" s="53"/>
      <c r="G18" s="53"/>
      <c r="H18" s="37" t="s">
        <v>26</v>
      </c>
      <c r="I18" s="37"/>
      <c r="J18" s="37"/>
      <c r="K18" s="37"/>
      <c r="L18" s="37" t="s">
        <v>27</v>
      </c>
      <c r="M18" s="37"/>
      <c r="N18" s="37"/>
      <c r="O18" s="37"/>
      <c r="P18" s="37" t="s">
        <v>28</v>
      </c>
      <c r="Q18" s="37"/>
      <c r="R18" s="37"/>
      <c r="S18" s="37"/>
      <c r="T18" s="37" t="s">
        <v>19</v>
      </c>
      <c r="U18" s="37"/>
      <c r="V18" s="37"/>
      <c r="W18" s="37"/>
      <c r="X18" s="37"/>
      <c r="Y18" s="37"/>
    </row>
    <row r="19" spans="4:25" ht="15" customHeight="1">
      <c r="D19" s="43" t="s">
        <v>11</v>
      </c>
      <c r="E19" s="43"/>
      <c r="F19" s="41" t="s">
        <v>24</v>
      </c>
      <c r="G19" s="42"/>
      <c r="H19" s="43" t="s">
        <v>13</v>
      </c>
      <c r="I19" s="43"/>
      <c r="J19" s="41" t="s">
        <v>30</v>
      </c>
      <c r="K19" s="42"/>
      <c r="L19" s="43" t="s">
        <v>15</v>
      </c>
      <c r="M19" s="43"/>
      <c r="N19" s="41" t="s">
        <v>31</v>
      </c>
      <c r="O19" s="42"/>
      <c r="P19" s="43" t="s">
        <v>17</v>
      </c>
      <c r="Q19" s="43"/>
      <c r="R19" s="41" t="s">
        <v>32</v>
      </c>
      <c r="S19" s="42"/>
      <c r="T19" s="37" t="s">
        <v>29</v>
      </c>
      <c r="U19" s="37"/>
      <c r="V19" s="43" t="s">
        <v>22</v>
      </c>
      <c r="W19" s="43"/>
      <c r="X19" s="41" t="s">
        <v>33</v>
      </c>
      <c r="Y19" s="42"/>
    </row>
    <row r="20" spans="4:25" ht="15">
      <c r="D20" s="3">
        <v>4.9375</v>
      </c>
      <c r="E20" s="3" t="s">
        <v>3</v>
      </c>
      <c r="F20" s="3">
        <f>D20*3</f>
        <v>14.8125</v>
      </c>
      <c r="G20" s="3" t="s">
        <v>3</v>
      </c>
      <c r="H20" s="3" t="s">
        <v>3</v>
      </c>
      <c r="I20" s="3" t="s">
        <v>3</v>
      </c>
      <c r="J20" s="3" t="s">
        <v>3</v>
      </c>
      <c r="K20" s="3" t="s">
        <v>3</v>
      </c>
      <c r="L20" s="3">
        <f>ROUND(3.95,0)</f>
        <v>4</v>
      </c>
      <c r="M20" s="3" t="s">
        <v>3</v>
      </c>
      <c r="N20" s="3">
        <f>L20*4</f>
        <v>16</v>
      </c>
      <c r="O20" s="3" t="s">
        <v>3</v>
      </c>
      <c r="P20" s="3" t="s">
        <v>3</v>
      </c>
      <c r="Q20" s="3" t="s">
        <v>3</v>
      </c>
      <c r="R20" s="3" t="s">
        <v>3</v>
      </c>
      <c r="S20" s="3" t="s">
        <v>3</v>
      </c>
      <c r="T20" s="1" t="s">
        <v>3</v>
      </c>
      <c r="U20" s="1" t="s">
        <v>3</v>
      </c>
      <c r="V20" s="3" t="s">
        <v>3</v>
      </c>
      <c r="W20" s="3" t="s">
        <v>3</v>
      </c>
      <c r="X20" s="3" t="s">
        <v>3</v>
      </c>
      <c r="Y20" s="3" t="s">
        <v>3</v>
      </c>
    </row>
    <row r="21" spans="4:25" ht="15">
      <c r="D21" s="3">
        <v>27.25</v>
      </c>
      <c r="E21" s="3">
        <v>27.25</v>
      </c>
      <c r="F21" s="3">
        <f aca="true" t="shared" si="11" ref="F21:F28">D21*3</f>
        <v>81.75</v>
      </c>
      <c r="G21" s="3">
        <f aca="true" t="shared" si="12" ref="G21:G28">E21*3</f>
        <v>81.75</v>
      </c>
      <c r="H21" s="3">
        <f>ROUND(18.1666666666667,0)</f>
        <v>18</v>
      </c>
      <c r="I21" s="3">
        <f>ROUND(27.25,0)</f>
        <v>27</v>
      </c>
      <c r="J21" s="3">
        <f aca="true" t="shared" si="13" ref="J21:J28">H21*5</f>
        <v>90</v>
      </c>
      <c r="K21" s="3">
        <f aca="true" t="shared" si="14" ref="K21:K28">I21*5</f>
        <v>135</v>
      </c>
      <c r="L21" s="3">
        <f>ROUND(27.25,0)</f>
        <v>27</v>
      </c>
      <c r="M21" s="3">
        <f>ROUND(27.25,0)</f>
        <v>27</v>
      </c>
      <c r="N21" s="3">
        <f aca="true" t="shared" si="15" ref="N21:N28">L21*4</f>
        <v>108</v>
      </c>
      <c r="O21" s="3">
        <f aca="true" t="shared" si="16" ref="O21:O28">M21*4</f>
        <v>108</v>
      </c>
      <c r="P21" s="3">
        <f>ROUND(7.78571428571429,0)</f>
        <v>8</v>
      </c>
      <c r="Q21" s="3">
        <f>ROUND(13.625,0)</f>
        <v>14</v>
      </c>
      <c r="R21" s="3">
        <f aca="true" t="shared" si="17" ref="R21:R28">P21*3</f>
        <v>24</v>
      </c>
      <c r="S21" s="3">
        <f aca="true" t="shared" si="18" ref="S21:S28">Q21*3</f>
        <v>42</v>
      </c>
      <c r="T21" s="1">
        <v>3.8</v>
      </c>
      <c r="U21" s="1">
        <v>3.8</v>
      </c>
      <c r="V21" s="3">
        <f>ROUND(4.95454545454545,0)</f>
        <v>5</v>
      </c>
      <c r="W21" s="3">
        <f>ROUND(4.95454545454545,0)</f>
        <v>5</v>
      </c>
      <c r="X21" s="3">
        <f aca="true" t="shared" si="19" ref="X21:X28">T21*V21</f>
        <v>19</v>
      </c>
      <c r="Y21" s="3">
        <f>U21*W21</f>
        <v>19</v>
      </c>
    </row>
    <row r="22" spans="4:25" ht="15">
      <c r="D22" s="3">
        <v>13.4</v>
      </c>
      <c r="E22" s="3">
        <v>5.153846153846154</v>
      </c>
      <c r="F22" s="3">
        <f t="shared" si="11"/>
        <v>40.2</v>
      </c>
      <c r="G22" s="3">
        <f t="shared" si="12"/>
        <v>15.461538461538463</v>
      </c>
      <c r="H22" s="3">
        <f>ROUND(5.15384615384615,0)</f>
        <v>5</v>
      </c>
      <c r="I22" s="3">
        <f>ROUND(5.15384615384615,0)</f>
        <v>5</v>
      </c>
      <c r="J22" s="3">
        <f t="shared" si="13"/>
        <v>25</v>
      </c>
      <c r="K22" s="3">
        <f t="shared" si="14"/>
        <v>25</v>
      </c>
      <c r="L22" s="3">
        <f>ROUND(13.4,0)</f>
        <v>13</v>
      </c>
      <c r="M22" s="3">
        <f>ROUND(5.15384615384615,0)</f>
        <v>5</v>
      </c>
      <c r="N22" s="3">
        <f t="shared" si="15"/>
        <v>52</v>
      </c>
      <c r="O22" s="3">
        <f t="shared" si="16"/>
        <v>20</v>
      </c>
      <c r="P22" s="3">
        <f>ROUND(5.15384615384615,0)</f>
        <v>5</v>
      </c>
      <c r="Q22" s="3">
        <f>ROUND(5.15384615384615,0)</f>
        <v>5</v>
      </c>
      <c r="R22" s="3">
        <f t="shared" si="17"/>
        <v>15</v>
      </c>
      <c r="S22" s="3">
        <f t="shared" si="18"/>
        <v>15</v>
      </c>
      <c r="T22" s="1">
        <v>2.6</v>
      </c>
      <c r="U22" s="1">
        <v>2.6</v>
      </c>
      <c r="V22" s="3">
        <f>ROUND(5.15384615384615,0)</f>
        <v>5</v>
      </c>
      <c r="W22" s="3">
        <f>ROUND(5.15384615384615,0)</f>
        <v>5</v>
      </c>
      <c r="X22" s="3">
        <f t="shared" si="19"/>
        <v>13</v>
      </c>
      <c r="Y22" s="3">
        <f>U22*W22</f>
        <v>13</v>
      </c>
    </row>
    <row r="23" spans="4:25" ht="15">
      <c r="D23" s="3">
        <v>18.833333333333332</v>
      </c>
      <c r="E23" s="3">
        <v>14.125</v>
      </c>
      <c r="F23" s="3">
        <f t="shared" si="11"/>
        <v>56.5</v>
      </c>
      <c r="G23" s="3">
        <f t="shared" si="12"/>
        <v>42.375</v>
      </c>
      <c r="H23" s="3">
        <f>ROUND(14.125,0)</f>
        <v>14</v>
      </c>
      <c r="I23" s="3">
        <v>14.125</v>
      </c>
      <c r="J23" s="3">
        <f t="shared" si="13"/>
        <v>70</v>
      </c>
      <c r="K23" s="3">
        <f t="shared" si="14"/>
        <v>70.625</v>
      </c>
      <c r="L23" s="3">
        <f>ROUND(18.8333333333333,0)</f>
        <v>19</v>
      </c>
      <c r="M23" s="3">
        <f>ROUND(14.125,0)</f>
        <v>14</v>
      </c>
      <c r="N23" s="3">
        <f t="shared" si="15"/>
        <v>76</v>
      </c>
      <c r="O23" s="3">
        <f t="shared" si="16"/>
        <v>56</v>
      </c>
      <c r="P23" s="3">
        <f>ROUND(4.91304347826087,0)</f>
        <v>5</v>
      </c>
      <c r="Q23" s="3">
        <f>ROUND(7.0625,0)</f>
        <v>7</v>
      </c>
      <c r="R23" s="3">
        <f t="shared" si="17"/>
        <v>15</v>
      </c>
      <c r="S23" s="3">
        <f t="shared" si="18"/>
        <v>21</v>
      </c>
      <c r="T23" s="1">
        <v>3.5</v>
      </c>
      <c r="U23" s="1">
        <v>3.8</v>
      </c>
      <c r="V23" s="3">
        <f>ROUND(4.91304347826087,0)</f>
        <v>5</v>
      </c>
      <c r="W23" s="3">
        <f>ROUND(4.91304347826087,0)</f>
        <v>5</v>
      </c>
      <c r="X23" s="3">
        <f t="shared" si="19"/>
        <v>17.5</v>
      </c>
      <c r="Y23" s="3">
        <f>U23*W23</f>
        <v>19</v>
      </c>
    </row>
    <row r="24" spans="4:25" ht="15">
      <c r="D24" s="3">
        <v>21.8</v>
      </c>
      <c r="E24" s="3">
        <v>15.571428571428571</v>
      </c>
      <c r="F24" s="3">
        <f t="shared" si="11"/>
        <v>65.4</v>
      </c>
      <c r="G24" s="3">
        <f t="shared" si="12"/>
        <v>46.714285714285715</v>
      </c>
      <c r="H24" s="3">
        <f>ROUND(10.9,0)</f>
        <v>11</v>
      </c>
      <c r="I24" s="3">
        <f>ROUND(15.5714285714286,0)</f>
        <v>16</v>
      </c>
      <c r="J24" s="3">
        <f t="shared" si="13"/>
        <v>55</v>
      </c>
      <c r="K24" s="3">
        <f t="shared" si="14"/>
        <v>80</v>
      </c>
      <c r="L24" s="3">
        <f>ROUND(21.8,0)</f>
        <v>22</v>
      </c>
      <c r="M24" s="3">
        <f>ROUND(15.5714285714286,0)</f>
        <v>16</v>
      </c>
      <c r="N24" s="3">
        <f t="shared" si="15"/>
        <v>88</v>
      </c>
      <c r="O24" s="3">
        <f t="shared" si="16"/>
        <v>64</v>
      </c>
      <c r="P24" s="3">
        <f>ROUND(7.78571428571429,0)</f>
        <v>8</v>
      </c>
      <c r="Q24" s="3">
        <f>ROUND(7.78571428571429,0)</f>
        <v>8</v>
      </c>
      <c r="R24" s="3">
        <f t="shared" si="17"/>
        <v>24</v>
      </c>
      <c r="S24" s="3">
        <f t="shared" si="18"/>
        <v>24</v>
      </c>
      <c r="T24" s="1">
        <v>3.5</v>
      </c>
      <c r="U24" s="1">
        <v>3.5</v>
      </c>
      <c r="V24" s="3">
        <f>ROUND(6.05555555555556,0)</f>
        <v>6</v>
      </c>
      <c r="W24" s="3">
        <f>ROUND(6.05555555555556,0)</f>
        <v>6</v>
      </c>
      <c r="X24" s="3">
        <f t="shared" si="19"/>
        <v>21</v>
      </c>
      <c r="Y24" s="3">
        <f>U24*W24</f>
        <v>21</v>
      </c>
    </row>
    <row r="25" spans="4:25" ht="15">
      <c r="D25" s="3">
        <v>4.875</v>
      </c>
      <c r="E25" s="3" t="s">
        <v>3</v>
      </c>
      <c r="F25" s="3">
        <f t="shared" si="11"/>
        <v>14.625</v>
      </c>
      <c r="G25" s="3" t="s">
        <v>3</v>
      </c>
      <c r="H25" s="3" t="s">
        <v>3</v>
      </c>
      <c r="I25" s="3" t="s">
        <v>3</v>
      </c>
      <c r="J25" s="3" t="s">
        <v>3</v>
      </c>
      <c r="K25" s="3" t="s">
        <v>3</v>
      </c>
      <c r="L25" s="3">
        <f>ROUND(4.875,0)</f>
        <v>5</v>
      </c>
      <c r="M25" s="3" t="s">
        <v>3</v>
      </c>
      <c r="N25" s="3">
        <f t="shared" si="15"/>
        <v>20</v>
      </c>
      <c r="O25" s="3" t="s">
        <v>3</v>
      </c>
      <c r="P25" s="3" t="s">
        <v>3</v>
      </c>
      <c r="Q25" s="3" t="s">
        <v>3</v>
      </c>
      <c r="R25" s="3" t="s">
        <v>3</v>
      </c>
      <c r="S25" s="3" t="s">
        <v>3</v>
      </c>
      <c r="T25" s="1" t="s">
        <v>3</v>
      </c>
      <c r="U25" s="1" t="s">
        <v>3</v>
      </c>
      <c r="V25" s="3" t="s">
        <v>3</v>
      </c>
      <c r="W25" s="3" t="s">
        <v>3</v>
      </c>
      <c r="X25" s="3" t="s">
        <v>3</v>
      </c>
      <c r="Y25" s="3" t="s">
        <v>3</v>
      </c>
    </row>
    <row r="26" spans="4:25" ht="15">
      <c r="D26" s="3">
        <v>3.923076923076923</v>
      </c>
      <c r="E26" s="3" t="s">
        <v>3</v>
      </c>
      <c r="F26" s="3">
        <f t="shared" si="11"/>
        <v>11.769230769230768</v>
      </c>
      <c r="G26" s="3" t="s">
        <v>3</v>
      </c>
      <c r="H26" s="3" t="s">
        <v>3</v>
      </c>
      <c r="I26" s="3" t="s">
        <v>3</v>
      </c>
      <c r="J26" s="3" t="s">
        <v>3</v>
      </c>
      <c r="K26" s="3" t="s">
        <v>3</v>
      </c>
      <c r="L26" s="3">
        <f>ROUND(3.92307692307692,0)</f>
        <v>4</v>
      </c>
      <c r="M26" s="3" t="s">
        <v>3</v>
      </c>
      <c r="N26" s="3">
        <f t="shared" si="15"/>
        <v>16</v>
      </c>
      <c r="O26" s="3" t="s">
        <v>3</v>
      </c>
      <c r="P26" s="3" t="s">
        <v>3</v>
      </c>
      <c r="Q26" s="3" t="s">
        <v>3</v>
      </c>
      <c r="R26" s="3" t="s">
        <v>3</v>
      </c>
      <c r="S26" s="3" t="s">
        <v>3</v>
      </c>
      <c r="T26" s="1" t="s">
        <v>3</v>
      </c>
      <c r="U26" s="1" t="s">
        <v>3</v>
      </c>
      <c r="V26" s="3" t="s">
        <v>3</v>
      </c>
      <c r="W26" s="3" t="s">
        <v>3</v>
      </c>
      <c r="X26" s="3" t="s">
        <v>3</v>
      </c>
      <c r="Y26" s="3" t="s">
        <v>3</v>
      </c>
    </row>
    <row r="27" spans="4:25" ht="15">
      <c r="D27" s="3">
        <v>3.0344827586206895</v>
      </c>
      <c r="E27" s="3">
        <v>2</v>
      </c>
      <c r="F27" s="3">
        <f t="shared" si="11"/>
        <v>9.103448275862068</v>
      </c>
      <c r="G27" s="3">
        <f t="shared" si="12"/>
        <v>6</v>
      </c>
      <c r="H27" s="3">
        <f>ROUND(3.03448275862069,0)</f>
        <v>3</v>
      </c>
      <c r="I27" s="3">
        <v>2</v>
      </c>
      <c r="J27" s="3">
        <f t="shared" si="13"/>
        <v>15</v>
      </c>
      <c r="K27" s="3">
        <f t="shared" si="14"/>
        <v>10</v>
      </c>
      <c r="L27" s="3">
        <f>ROUND(3.03448275862069,0)</f>
        <v>3</v>
      </c>
      <c r="M27" s="3">
        <v>2</v>
      </c>
      <c r="N27" s="3">
        <f t="shared" si="15"/>
        <v>12</v>
      </c>
      <c r="O27" s="3">
        <f t="shared" si="16"/>
        <v>8</v>
      </c>
      <c r="P27" s="3">
        <f>ROUND(3.03448275862069,0)</f>
        <v>3</v>
      </c>
      <c r="Q27" s="3">
        <v>1</v>
      </c>
      <c r="R27" s="3">
        <f t="shared" si="17"/>
        <v>9</v>
      </c>
      <c r="S27" s="3">
        <f t="shared" si="18"/>
        <v>3</v>
      </c>
      <c r="T27" s="1" t="s">
        <v>3</v>
      </c>
      <c r="U27" s="1" t="s">
        <v>3</v>
      </c>
      <c r="V27" s="3" t="s">
        <v>3</v>
      </c>
      <c r="W27" s="3" t="s">
        <v>3</v>
      </c>
      <c r="X27" s="3" t="s">
        <v>3</v>
      </c>
      <c r="Y27" s="3" t="s">
        <v>3</v>
      </c>
    </row>
    <row r="28" spans="4:25" ht="15">
      <c r="D28" s="3">
        <v>3.0454545454545454</v>
      </c>
      <c r="E28" s="3">
        <v>3.9411764705882355</v>
      </c>
      <c r="F28" s="3">
        <f t="shared" si="11"/>
        <v>9.136363636363637</v>
      </c>
      <c r="G28" s="3">
        <f t="shared" si="12"/>
        <v>11.823529411764707</v>
      </c>
      <c r="H28" s="3">
        <f>ROUND(3.04545454545455,0)</f>
        <v>3</v>
      </c>
      <c r="I28" s="3">
        <f>ROUND(3.94117647058824,0)</f>
        <v>4</v>
      </c>
      <c r="J28" s="3">
        <f t="shared" si="13"/>
        <v>15</v>
      </c>
      <c r="K28" s="3">
        <f t="shared" si="14"/>
        <v>20</v>
      </c>
      <c r="L28" s="3">
        <f>ROUND(1.97058823529412,0)</f>
        <v>2</v>
      </c>
      <c r="M28" s="3">
        <f>ROUND(3.94117647058824,0)</f>
        <v>4</v>
      </c>
      <c r="N28" s="3">
        <f t="shared" si="15"/>
        <v>8</v>
      </c>
      <c r="O28" s="3">
        <f t="shared" si="16"/>
        <v>16</v>
      </c>
      <c r="P28" s="3">
        <f>ROUND(1.97058823529412,0)</f>
        <v>2</v>
      </c>
      <c r="Q28" s="3">
        <f>ROUND(1.97058823529412,0)</f>
        <v>2</v>
      </c>
      <c r="R28" s="3">
        <f t="shared" si="17"/>
        <v>6</v>
      </c>
      <c r="S28" s="3">
        <f t="shared" si="18"/>
        <v>6</v>
      </c>
      <c r="T28" s="1">
        <v>0.5</v>
      </c>
      <c r="U28" s="1" t="s">
        <v>3</v>
      </c>
      <c r="V28" s="3">
        <v>1</v>
      </c>
      <c r="W28" s="3">
        <v>1</v>
      </c>
      <c r="X28" s="3">
        <f t="shared" si="19"/>
        <v>0.5</v>
      </c>
      <c r="Y28" s="3" t="s">
        <v>3</v>
      </c>
    </row>
    <row r="29" spans="4:25" ht="15">
      <c r="D29" s="37" t="s">
        <v>23</v>
      </c>
      <c r="E29" s="37"/>
      <c r="F29" s="6">
        <f>SUM(F20:F28)</f>
        <v>303.2965426814565</v>
      </c>
      <c r="G29" s="6">
        <f>SUM(G20:G28)</f>
        <v>204.12435358758887</v>
      </c>
      <c r="H29" s="51"/>
      <c r="I29" s="52"/>
      <c r="J29" s="6">
        <f>SUM(J20:J28)</f>
        <v>270</v>
      </c>
      <c r="K29" s="6">
        <f>SUM(K20:K28)</f>
        <v>340.625</v>
      </c>
      <c r="L29" s="51"/>
      <c r="M29" s="52"/>
      <c r="N29" s="6">
        <f>SUM(N20:N28)</f>
        <v>396</v>
      </c>
      <c r="O29" s="6">
        <f>SUM(O20:O28)</f>
        <v>272</v>
      </c>
      <c r="P29" s="51"/>
      <c r="Q29" s="52"/>
      <c r="R29" s="6">
        <f>SUM(R20:R28)</f>
        <v>93</v>
      </c>
      <c r="S29" s="6">
        <f>SUM(S20:S28)</f>
        <v>111</v>
      </c>
      <c r="T29" s="51"/>
      <c r="U29" s="54"/>
      <c r="V29" s="54"/>
      <c r="W29" s="52"/>
      <c r="X29" s="6">
        <f>SUM(X20:X28)</f>
        <v>71</v>
      </c>
      <c r="Y29" s="6">
        <f>SUM(Y20:Y28)</f>
        <v>72</v>
      </c>
    </row>
    <row r="30" spans="5:11" ht="15">
      <c r="E30" s="32" t="s">
        <v>232</v>
      </c>
      <c r="F30" s="32"/>
      <c r="G30" s="32"/>
      <c r="H30" s="32"/>
      <c r="I30" s="32"/>
      <c r="J30" s="32"/>
      <c r="K30" s="32"/>
    </row>
    <row r="31" spans="4:7" ht="15">
      <c r="D31" s="18" t="s">
        <v>75</v>
      </c>
      <c r="E31" s="6">
        <f>SUM(F29,J29,N29,R29,X29)</f>
        <v>1133.2965426814565</v>
      </c>
      <c r="F31" s="18" t="s">
        <v>76</v>
      </c>
      <c r="G31" s="6">
        <f>SUM(G29,K29,O29,S29,Y29)</f>
        <v>999.7493535875889</v>
      </c>
    </row>
    <row r="32" spans="4:6" ht="15">
      <c r="D32" s="19" t="s">
        <v>34</v>
      </c>
      <c r="E32" s="19">
        <f>ROUND(E31/E16,2)</f>
        <v>11.21</v>
      </c>
      <c r="F32" t="s">
        <v>225</v>
      </c>
    </row>
    <row r="33" spans="4:6" ht="15">
      <c r="D33" s="20" t="s">
        <v>35</v>
      </c>
      <c r="E33" s="20">
        <f>ROUND(G31/G16,2)</f>
        <v>14.69</v>
      </c>
      <c r="F33" t="s">
        <v>225</v>
      </c>
    </row>
    <row r="34" spans="4:6" ht="15">
      <c r="D34" s="20" t="s">
        <v>36</v>
      </c>
      <c r="E34" s="20">
        <f>ROUND((E32*254+E33*112)/365,2)</f>
        <v>12.31</v>
      </c>
      <c r="F34" t="s">
        <v>225</v>
      </c>
    </row>
    <row r="35" spans="4:6" ht="15">
      <c r="D35" s="18" t="s">
        <v>39</v>
      </c>
      <c r="E35" s="18">
        <f>ROUND(E31*254+G31*112,0)</f>
        <v>399829</v>
      </c>
      <c r="F35" t="s">
        <v>226</v>
      </c>
    </row>
    <row r="36" spans="4:6" ht="15">
      <c r="D36" s="18" t="s">
        <v>38</v>
      </c>
      <c r="E36" s="17">
        <f>ROUND(E35/E37,0)</f>
        <v>3148</v>
      </c>
      <c r="F36" t="s">
        <v>225</v>
      </c>
    </row>
    <row r="37" spans="4:6" ht="15">
      <c r="D37" s="18" t="s">
        <v>37</v>
      </c>
      <c r="E37" s="17">
        <f>ROUNDUP(J14/0.8,0)</f>
        <v>127</v>
      </c>
      <c r="F37" t="s">
        <v>227</v>
      </c>
    </row>
    <row r="38" spans="4:6" ht="15">
      <c r="D38" s="18" t="s">
        <v>52</v>
      </c>
      <c r="E38" s="18">
        <v>254</v>
      </c>
      <c r="F38" t="s">
        <v>227</v>
      </c>
    </row>
    <row r="39" spans="4:6" ht="15">
      <c r="D39" s="18" t="s">
        <v>53</v>
      </c>
      <c r="E39" s="18">
        <v>112</v>
      </c>
      <c r="F39" t="s">
        <v>227</v>
      </c>
    </row>
    <row r="46" spans="5:10" ht="15">
      <c r="E46" s="27" t="s">
        <v>233</v>
      </c>
      <c r="F46" s="27"/>
      <c r="G46" s="27"/>
      <c r="H46" s="27"/>
      <c r="I46" s="27"/>
      <c r="J46" s="27"/>
    </row>
    <row r="47" spans="4:14" ht="15">
      <c r="D47" s="37" t="s">
        <v>5</v>
      </c>
      <c r="E47" s="37" t="s">
        <v>6</v>
      </c>
      <c r="F47" s="37"/>
      <c r="G47" s="37" t="s">
        <v>7</v>
      </c>
      <c r="H47" s="37"/>
      <c r="I47" s="37" t="s">
        <v>8</v>
      </c>
      <c r="J47" s="37"/>
      <c r="K47" s="37" t="s">
        <v>9</v>
      </c>
      <c r="L47" s="37"/>
      <c r="M47" s="37" t="s">
        <v>20</v>
      </c>
      <c r="N47" s="37"/>
    </row>
    <row r="48" spans="4:14" ht="15">
      <c r="D48" s="37"/>
      <c r="E48" s="43" t="s">
        <v>40</v>
      </c>
      <c r="F48" s="43"/>
      <c r="G48" s="43" t="s">
        <v>41</v>
      </c>
      <c r="H48" s="43"/>
      <c r="I48" s="43" t="s">
        <v>42</v>
      </c>
      <c r="J48" s="43"/>
      <c r="K48" s="43" t="s">
        <v>43</v>
      </c>
      <c r="L48" s="43"/>
      <c r="M48" s="43" t="s">
        <v>44</v>
      </c>
      <c r="N48" s="43"/>
    </row>
    <row r="49" spans="4:14" ht="15">
      <c r="D49" s="7">
        <v>18.835443037974684</v>
      </c>
      <c r="E49" s="8">
        <f>ROUND(D49*F20,1)</f>
        <v>279</v>
      </c>
      <c r="F49" s="5" t="s">
        <v>3</v>
      </c>
      <c r="G49" s="9" t="s">
        <v>3</v>
      </c>
      <c r="H49" s="9" t="s">
        <v>3</v>
      </c>
      <c r="I49" s="9">
        <f aca="true" t="shared" si="20" ref="I49:I57">D49*N20</f>
        <v>301.36708860759495</v>
      </c>
      <c r="J49" s="9" t="s">
        <v>3</v>
      </c>
      <c r="K49" s="9" t="s">
        <v>3</v>
      </c>
      <c r="L49" s="9" t="s">
        <v>3</v>
      </c>
      <c r="M49" s="9" t="s">
        <v>3</v>
      </c>
      <c r="N49" s="9" t="s">
        <v>3</v>
      </c>
    </row>
    <row r="50" spans="4:14" ht="15">
      <c r="D50" s="7">
        <v>17.284403669724767</v>
      </c>
      <c r="E50" s="8">
        <f aca="true" t="shared" si="21" ref="E50:E57">ROUND(D50*F21,1)</f>
        <v>1413</v>
      </c>
      <c r="F50" s="5">
        <f>ROUND(D50*G21,1)</f>
        <v>1413</v>
      </c>
      <c r="G50" s="9">
        <f>D50*J21</f>
        <v>1555.596330275229</v>
      </c>
      <c r="H50" s="9">
        <f>D50*K21</f>
        <v>2333.3944954128438</v>
      </c>
      <c r="I50" s="9">
        <f t="shared" si="20"/>
        <v>1866.7155963302748</v>
      </c>
      <c r="J50" s="9">
        <f>D50*O21</f>
        <v>1866.7155963302748</v>
      </c>
      <c r="K50" s="9">
        <f>D50*R21</f>
        <v>414.8256880733944</v>
      </c>
      <c r="L50" s="9">
        <f>D50*S21</f>
        <v>725.9449541284403</v>
      </c>
      <c r="M50" s="9">
        <f>D50*X21</f>
        <v>328.40366972477057</v>
      </c>
      <c r="N50" s="9">
        <f>D50*Y21</f>
        <v>328.40366972477057</v>
      </c>
    </row>
    <row r="51" spans="4:14" ht="15">
      <c r="D51" s="7">
        <v>19.432835820895523</v>
      </c>
      <c r="E51" s="8">
        <f t="shared" si="21"/>
        <v>781.2</v>
      </c>
      <c r="F51" s="5">
        <f>ROUND(D51*G22,1)</f>
        <v>300.5</v>
      </c>
      <c r="G51" s="9">
        <f>D51*J22</f>
        <v>485.82089552238807</v>
      </c>
      <c r="H51" s="9">
        <f>D51*K22</f>
        <v>485.82089552238807</v>
      </c>
      <c r="I51" s="9">
        <f t="shared" si="20"/>
        <v>1010.5074626865672</v>
      </c>
      <c r="J51" s="9">
        <f>D51*O22</f>
        <v>388.65671641791045</v>
      </c>
      <c r="K51" s="9">
        <f>D51*R22</f>
        <v>291.4925373134328</v>
      </c>
      <c r="L51" s="9">
        <f>D51*S22</f>
        <v>291.4925373134328</v>
      </c>
      <c r="M51" s="9">
        <f>D51*X22</f>
        <v>252.6268656716418</v>
      </c>
      <c r="N51" s="9">
        <f>D51*Y22</f>
        <v>252.6268656716418</v>
      </c>
    </row>
    <row r="52" spans="4:14" ht="15">
      <c r="D52" s="7">
        <v>16.4070796460177</v>
      </c>
      <c r="E52" s="8">
        <f t="shared" si="21"/>
        <v>927</v>
      </c>
      <c r="F52" s="5">
        <f>ROUND(D52*G23,1)</f>
        <v>695.3</v>
      </c>
      <c r="G52" s="9">
        <f>D52*J23</f>
        <v>1148.495575221239</v>
      </c>
      <c r="H52" s="9">
        <f>D52*K23</f>
        <v>1158.75</v>
      </c>
      <c r="I52" s="9">
        <f t="shared" si="20"/>
        <v>1246.9380530973451</v>
      </c>
      <c r="J52" s="9">
        <f>D52*O23</f>
        <v>918.7964601769911</v>
      </c>
      <c r="K52" s="9">
        <f>D52*R23</f>
        <v>246.10619469026548</v>
      </c>
      <c r="L52" s="9">
        <f>D52*S23</f>
        <v>344.5486725663717</v>
      </c>
      <c r="M52" s="9">
        <f>D52*X23</f>
        <v>287.12389380530976</v>
      </c>
      <c r="N52" s="9">
        <f>D52*Y23</f>
        <v>311.7345132743363</v>
      </c>
    </row>
    <row r="53" spans="4:14" ht="15">
      <c r="D53" s="7">
        <v>18.220183486238533</v>
      </c>
      <c r="E53" s="8">
        <f t="shared" si="21"/>
        <v>1191.6</v>
      </c>
      <c r="F53" s="5">
        <f>ROUND(D53*G24,1)</f>
        <v>851.1</v>
      </c>
      <c r="G53" s="9">
        <f>D53*J24</f>
        <v>1002.1100917431193</v>
      </c>
      <c r="H53" s="9">
        <f>D53*K24</f>
        <v>1457.6146788990827</v>
      </c>
      <c r="I53" s="9">
        <f t="shared" si="20"/>
        <v>1603.3761467889908</v>
      </c>
      <c r="J53" s="9">
        <f>D53*O24</f>
        <v>1166.091743119266</v>
      </c>
      <c r="K53" s="9">
        <f>D53*R24</f>
        <v>437.2844036697248</v>
      </c>
      <c r="L53" s="9">
        <f>D53*S24</f>
        <v>437.2844036697248</v>
      </c>
      <c r="M53" s="9">
        <f>D53*X24</f>
        <v>382.6238532110092</v>
      </c>
      <c r="N53" s="9">
        <f>D53*Y24</f>
        <v>382.6238532110092</v>
      </c>
    </row>
    <row r="54" spans="4:14" ht="15">
      <c r="D54" s="7">
        <v>18.692307692307693</v>
      </c>
      <c r="E54" s="8">
        <f t="shared" si="21"/>
        <v>273.4</v>
      </c>
      <c r="F54" s="5" t="s">
        <v>3</v>
      </c>
      <c r="G54" s="9" t="s">
        <v>3</v>
      </c>
      <c r="H54" s="9" t="s">
        <v>3</v>
      </c>
      <c r="I54" s="9">
        <f t="shared" si="20"/>
        <v>373.84615384615387</v>
      </c>
      <c r="J54" s="9" t="s">
        <v>3</v>
      </c>
      <c r="K54" s="9" t="s">
        <v>3</v>
      </c>
      <c r="L54" s="9" t="s">
        <v>3</v>
      </c>
      <c r="M54" s="9" t="s">
        <v>3</v>
      </c>
      <c r="N54" s="9" t="s">
        <v>3</v>
      </c>
    </row>
    <row r="55" spans="4:14" ht="15">
      <c r="D55" s="7">
        <v>17.941176470588236</v>
      </c>
      <c r="E55" s="8">
        <f t="shared" si="21"/>
        <v>211.2</v>
      </c>
      <c r="F55" s="5" t="s">
        <v>3</v>
      </c>
      <c r="G55" s="9" t="s">
        <v>3</v>
      </c>
      <c r="H55" s="9" t="s">
        <v>3</v>
      </c>
      <c r="I55" s="9">
        <f t="shared" si="20"/>
        <v>287.05882352941177</v>
      </c>
      <c r="J55" s="9" t="s">
        <v>3</v>
      </c>
      <c r="K55" s="9" t="s">
        <v>3</v>
      </c>
      <c r="L55" s="9" t="s">
        <v>3</v>
      </c>
      <c r="M55" s="9" t="s">
        <v>3</v>
      </c>
      <c r="N55" s="9" t="s">
        <v>3</v>
      </c>
    </row>
    <row r="56" spans="4:14" ht="15">
      <c r="D56" s="7">
        <v>17.386363636363637</v>
      </c>
      <c r="E56" s="8">
        <f t="shared" si="21"/>
        <v>158.3</v>
      </c>
      <c r="F56" s="5">
        <f>ROUND(D56*G27,1)</f>
        <v>104.3</v>
      </c>
      <c r="G56" s="9">
        <f>D56*J27</f>
        <v>260.79545454545456</v>
      </c>
      <c r="H56" s="9">
        <f>D56*K27</f>
        <v>173.86363636363637</v>
      </c>
      <c r="I56" s="9">
        <f t="shared" si="20"/>
        <v>208.63636363636363</v>
      </c>
      <c r="J56" s="9">
        <f>D56*O27</f>
        <v>139.0909090909091</v>
      </c>
      <c r="K56" s="9">
        <f>D56*R27</f>
        <v>156.47727272727272</v>
      </c>
      <c r="L56" s="9">
        <f>D56*S27</f>
        <v>52.15909090909091</v>
      </c>
      <c r="M56" s="9" t="s">
        <v>3</v>
      </c>
      <c r="N56" s="9" t="s">
        <v>3</v>
      </c>
    </row>
    <row r="57" spans="4:14" ht="15">
      <c r="D57" s="7">
        <v>17.104477611940297</v>
      </c>
      <c r="E57" s="8">
        <f t="shared" si="21"/>
        <v>156.3</v>
      </c>
      <c r="F57" s="5">
        <f>D57*G28</f>
        <v>202.23529411764704</v>
      </c>
      <c r="G57" s="9">
        <f>D57*J28</f>
        <v>256.56716417910445</v>
      </c>
      <c r="H57" s="9">
        <f>D57*K28</f>
        <v>342.08955223880594</v>
      </c>
      <c r="I57" s="9">
        <f t="shared" si="20"/>
        <v>136.83582089552237</v>
      </c>
      <c r="J57" s="9">
        <f>D57*O28</f>
        <v>273.67164179104475</v>
      </c>
      <c r="K57" s="9">
        <f>D57*R28</f>
        <v>102.62686567164178</v>
      </c>
      <c r="L57" s="9">
        <f>D57*S28</f>
        <v>102.62686567164178</v>
      </c>
      <c r="M57" s="9">
        <f>D57*X28</f>
        <v>8.552238805970148</v>
      </c>
      <c r="N57" s="9" t="s">
        <v>3</v>
      </c>
    </row>
    <row r="58" spans="4:14" ht="15">
      <c r="D58" s="18" t="s">
        <v>23</v>
      </c>
      <c r="E58" s="7">
        <f aca="true" t="shared" si="22" ref="E58:N58">SUM(E49:E57)</f>
        <v>5390.999999999999</v>
      </c>
      <c r="F58" s="7">
        <f t="shared" si="22"/>
        <v>3566.435294117647</v>
      </c>
      <c r="G58" s="7">
        <f t="shared" si="22"/>
        <v>4709.385511486535</v>
      </c>
      <c r="H58" s="7">
        <f t="shared" si="22"/>
        <v>5951.533258436757</v>
      </c>
      <c r="I58" s="7">
        <f t="shared" si="22"/>
        <v>7035.281509418225</v>
      </c>
      <c r="J58" s="7">
        <f t="shared" si="22"/>
        <v>4753.023066926396</v>
      </c>
      <c r="K58" s="7">
        <f t="shared" si="22"/>
        <v>1648.812962145732</v>
      </c>
      <c r="L58" s="7">
        <f t="shared" si="22"/>
        <v>1954.0565242587024</v>
      </c>
      <c r="M58" s="7">
        <f t="shared" si="22"/>
        <v>1259.3305212187013</v>
      </c>
      <c r="N58" s="7">
        <f t="shared" si="22"/>
        <v>1275.3889018817579</v>
      </c>
    </row>
    <row r="59" spans="4:6" ht="15">
      <c r="D59" s="18" t="s">
        <v>45</v>
      </c>
      <c r="E59" s="7">
        <f>ROUND(SUM(E58,G58,I58,K58,M58),2)</f>
        <v>20043.81</v>
      </c>
      <c r="F59" t="s">
        <v>230</v>
      </c>
    </row>
    <row r="60" spans="4:6" ht="15">
      <c r="D60" s="18" t="s">
        <v>46</v>
      </c>
      <c r="E60" s="7">
        <f>SUM(F58,H58,J58,L58,N58)</f>
        <v>17500.43704562126</v>
      </c>
      <c r="F60" t="s">
        <v>230</v>
      </c>
    </row>
    <row r="61" spans="4:6" ht="15">
      <c r="D61" s="18" t="s">
        <v>47</v>
      </c>
      <c r="E61" s="2">
        <f>ROUND(E59/E16,2)</f>
        <v>198.26</v>
      </c>
      <c r="F61" t="s">
        <v>228</v>
      </c>
    </row>
    <row r="62" spans="4:6" ht="15">
      <c r="D62" s="18" t="s">
        <v>50</v>
      </c>
      <c r="E62" s="2">
        <f>ROUND(E60/G16,2)</f>
        <v>257.2</v>
      </c>
      <c r="F62" t="s">
        <v>228</v>
      </c>
    </row>
    <row r="63" spans="4:6" ht="15">
      <c r="D63" s="18" t="s">
        <v>51</v>
      </c>
      <c r="E63" s="2">
        <f>ROUND((E61*E38+E62*E39)/365,2)</f>
        <v>216.89</v>
      </c>
      <c r="F63" t="s">
        <v>228</v>
      </c>
    </row>
    <row r="65" spans="5:8" ht="15">
      <c r="E65" s="24" t="s">
        <v>234</v>
      </c>
      <c r="F65" s="24"/>
      <c r="G65" s="24"/>
      <c r="H65" s="24"/>
    </row>
    <row r="66" spans="4:6" ht="15">
      <c r="D66" s="18" t="s">
        <v>54</v>
      </c>
      <c r="E66" s="2">
        <f>ROUND((E59*E38+E60*E39),0)</f>
        <v>7051177</v>
      </c>
      <c r="F66" t="s">
        <v>229</v>
      </c>
    </row>
    <row r="67" spans="4:6" ht="15">
      <c r="D67" s="18" t="s">
        <v>55</v>
      </c>
      <c r="E67" s="6">
        <f>ROUND(E66/E37,0)</f>
        <v>55521</v>
      </c>
      <c r="F67" t="s">
        <v>228</v>
      </c>
    </row>
    <row r="69" spans="4:11" ht="15">
      <c r="D69" s="24" t="s">
        <v>235</v>
      </c>
      <c r="E69" s="24"/>
      <c r="F69" s="24"/>
      <c r="G69" s="24"/>
      <c r="H69" s="24"/>
      <c r="I69" s="24"/>
      <c r="J69" s="24"/>
      <c r="K69" s="24"/>
    </row>
    <row r="73" spans="4:12" ht="15">
      <c r="D73" s="27" t="s">
        <v>236</v>
      </c>
      <c r="E73" s="27"/>
      <c r="F73" s="27"/>
      <c r="G73" s="27"/>
      <c r="H73" s="27"/>
      <c r="I73" s="27"/>
      <c r="J73" s="27"/>
      <c r="K73" s="27"/>
      <c r="L73" s="27"/>
    </row>
    <row r="74" spans="4:12" ht="15">
      <c r="D74" s="49" t="s">
        <v>56</v>
      </c>
      <c r="E74" s="43" t="s">
        <v>58</v>
      </c>
      <c r="F74" s="49" t="s">
        <v>57</v>
      </c>
      <c r="G74" s="37" t="s">
        <v>60</v>
      </c>
      <c r="H74" s="37"/>
      <c r="I74" s="37"/>
      <c r="J74" s="37"/>
      <c r="K74" s="37"/>
      <c r="L74" s="49" t="s">
        <v>59</v>
      </c>
    </row>
    <row r="75" spans="4:12" ht="15">
      <c r="D75" s="49"/>
      <c r="E75" s="43"/>
      <c r="F75" s="49"/>
      <c r="G75" s="18" t="s">
        <v>61</v>
      </c>
      <c r="H75" s="18" t="s">
        <v>62</v>
      </c>
      <c r="I75" s="18" t="s">
        <v>63</v>
      </c>
      <c r="J75" s="18" t="s">
        <v>64</v>
      </c>
      <c r="K75" s="18" t="s">
        <v>65</v>
      </c>
      <c r="L75" s="49"/>
    </row>
    <row r="76" spans="4:12" ht="15">
      <c r="D76" s="2">
        <v>200</v>
      </c>
      <c r="E76" s="2" t="s">
        <v>66</v>
      </c>
      <c r="F76" s="2">
        <v>10.1</v>
      </c>
      <c r="G76" s="2">
        <v>1</v>
      </c>
      <c r="H76" s="2">
        <v>1</v>
      </c>
      <c r="I76" s="2">
        <v>1.25</v>
      </c>
      <c r="J76" s="2">
        <v>1</v>
      </c>
      <c r="K76" s="2">
        <v>1.05</v>
      </c>
      <c r="L76" s="2">
        <f aca="true" t="shared" si="23" ref="L76:L95">ROUND(F76*G76*H76*I76*J76*K76,2)</f>
        <v>13.26</v>
      </c>
    </row>
    <row r="77" spans="4:12" ht="15">
      <c r="D77" s="2">
        <v>202.5</v>
      </c>
      <c r="E77" s="2" t="s">
        <v>66</v>
      </c>
      <c r="F77" s="2">
        <v>10.1</v>
      </c>
      <c r="G77" s="2">
        <v>1</v>
      </c>
      <c r="H77" s="2">
        <v>1</v>
      </c>
      <c r="I77" s="2">
        <v>1.25</v>
      </c>
      <c r="J77" s="2">
        <v>1</v>
      </c>
      <c r="K77" s="2">
        <v>1.05</v>
      </c>
      <c r="L77" s="2">
        <f t="shared" si="23"/>
        <v>13.26</v>
      </c>
    </row>
    <row r="78" spans="4:12" ht="15">
      <c r="D78" s="2">
        <v>205</v>
      </c>
      <c r="E78" s="2" t="s">
        <v>67</v>
      </c>
      <c r="F78" s="2">
        <v>32.6</v>
      </c>
      <c r="G78" s="2">
        <v>1</v>
      </c>
      <c r="H78" s="2">
        <v>1</v>
      </c>
      <c r="I78" s="2">
        <v>1.25</v>
      </c>
      <c r="J78" s="2">
        <v>1</v>
      </c>
      <c r="K78" s="2">
        <v>1.05</v>
      </c>
      <c r="L78" s="2">
        <f t="shared" si="23"/>
        <v>42.79</v>
      </c>
    </row>
    <row r="79" spans="4:12" ht="15">
      <c r="D79" s="2">
        <v>207.5</v>
      </c>
      <c r="E79" s="2" t="s">
        <v>66</v>
      </c>
      <c r="F79" s="2">
        <v>10.1</v>
      </c>
      <c r="G79" s="2">
        <v>1</v>
      </c>
      <c r="H79" s="2">
        <v>1</v>
      </c>
      <c r="I79" s="2">
        <v>1.25</v>
      </c>
      <c r="J79" s="2">
        <v>1</v>
      </c>
      <c r="K79" s="2">
        <v>1.05</v>
      </c>
      <c r="L79" s="2">
        <f t="shared" si="23"/>
        <v>13.26</v>
      </c>
    </row>
    <row r="80" spans="4:12" ht="15">
      <c r="D80" s="2">
        <v>210</v>
      </c>
      <c r="E80" s="2" t="s">
        <v>66</v>
      </c>
      <c r="F80" s="2">
        <v>10.1</v>
      </c>
      <c r="G80" s="2">
        <v>1</v>
      </c>
      <c r="H80" s="2">
        <v>1</v>
      </c>
      <c r="I80" s="2">
        <v>1.25</v>
      </c>
      <c r="J80" s="2">
        <v>1</v>
      </c>
      <c r="K80" s="2">
        <v>1.05</v>
      </c>
      <c r="L80" s="2">
        <f t="shared" si="23"/>
        <v>13.26</v>
      </c>
    </row>
    <row r="81" spans="4:12" ht="15">
      <c r="D81" s="2">
        <v>212.5</v>
      </c>
      <c r="E81" s="2" t="s">
        <v>66</v>
      </c>
      <c r="F81" s="2">
        <v>10.1</v>
      </c>
      <c r="G81" s="2">
        <v>1</v>
      </c>
      <c r="H81" s="2">
        <v>1</v>
      </c>
      <c r="I81" s="2">
        <v>1.25</v>
      </c>
      <c r="J81" s="2">
        <v>1</v>
      </c>
      <c r="K81" s="2">
        <v>1.05</v>
      </c>
      <c r="L81" s="2">
        <f t="shared" si="23"/>
        <v>13.26</v>
      </c>
    </row>
    <row r="82" spans="4:12" ht="15">
      <c r="D82" s="2">
        <v>215</v>
      </c>
      <c r="E82" s="2" t="s">
        <v>68</v>
      </c>
      <c r="F82" s="2">
        <v>39.12</v>
      </c>
      <c r="G82" s="2">
        <v>1</v>
      </c>
      <c r="H82" s="2">
        <v>1</v>
      </c>
      <c r="I82" s="2">
        <v>1</v>
      </c>
      <c r="J82" s="2">
        <v>1</v>
      </c>
      <c r="K82" s="2">
        <v>1.05</v>
      </c>
      <c r="L82" s="2">
        <f t="shared" si="23"/>
        <v>41.08</v>
      </c>
    </row>
    <row r="83" spans="4:12" ht="15">
      <c r="D83" s="2">
        <v>217.5</v>
      </c>
      <c r="E83" s="2" t="s">
        <v>66</v>
      </c>
      <c r="F83" s="2">
        <v>10.1</v>
      </c>
      <c r="G83" s="2">
        <v>1</v>
      </c>
      <c r="H83" s="2">
        <v>1</v>
      </c>
      <c r="I83" s="2">
        <v>1</v>
      </c>
      <c r="J83" s="2">
        <v>1</v>
      </c>
      <c r="K83" s="2">
        <v>1.05</v>
      </c>
      <c r="L83" s="2">
        <f t="shared" si="23"/>
        <v>10.61</v>
      </c>
    </row>
    <row r="84" spans="4:12" ht="15">
      <c r="D84" s="2">
        <v>220</v>
      </c>
      <c r="E84" s="2" t="s">
        <v>66</v>
      </c>
      <c r="F84" s="2">
        <v>10.1</v>
      </c>
      <c r="G84" s="2">
        <v>1</v>
      </c>
      <c r="H84" s="2">
        <v>1</v>
      </c>
      <c r="I84" s="2">
        <v>1</v>
      </c>
      <c r="J84" s="2">
        <v>1</v>
      </c>
      <c r="K84" s="2">
        <v>1.05</v>
      </c>
      <c r="L84" s="2">
        <f t="shared" si="23"/>
        <v>10.61</v>
      </c>
    </row>
    <row r="85" spans="4:12" ht="15">
      <c r="D85" s="2">
        <v>222.5</v>
      </c>
      <c r="E85" s="2" t="s">
        <v>66</v>
      </c>
      <c r="F85" s="2">
        <v>10.1</v>
      </c>
      <c r="G85" s="2">
        <v>1</v>
      </c>
      <c r="H85" s="2">
        <v>1</v>
      </c>
      <c r="I85" s="2">
        <v>1</v>
      </c>
      <c r="J85" s="2">
        <v>1</v>
      </c>
      <c r="K85" s="2">
        <v>1.05</v>
      </c>
      <c r="L85" s="2">
        <f t="shared" si="23"/>
        <v>10.61</v>
      </c>
    </row>
    <row r="86" spans="4:12" ht="15">
      <c r="D86" s="2">
        <v>225</v>
      </c>
      <c r="E86" s="2" t="s">
        <v>67</v>
      </c>
      <c r="F86" s="2">
        <v>32.6</v>
      </c>
      <c r="G86" s="2">
        <v>1</v>
      </c>
      <c r="H86" s="2">
        <v>1</v>
      </c>
      <c r="I86" s="2">
        <v>1</v>
      </c>
      <c r="J86" s="2">
        <v>1</v>
      </c>
      <c r="K86" s="2">
        <v>1.05</v>
      </c>
      <c r="L86" s="2">
        <f t="shared" si="23"/>
        <v>34.23</v>
      </c>
    </row>
    <row r="87" spans="4:12" ht="15">
      <c r="D87" s="2">
        <v>227.5</v>
      </c>
      <c r="E87" s="2" t="s">
        <v>66</v>
      </c>
      <c r="F87" s="2">
        <v>10.1</v>
      </c>
      <c r="G87" s="2">
        <v>1</v>
      </c>
      <c r="H87" s="2">
        <v>1</v>
      </c>
      <c r="I87" s="2">
        <v>1</v>
      </c>
      <c r="J87" s="2">
        <v>1</v>
      </c>
      <c r="K87" s="2">
        <v>1.05</v>
      </c>
      <c r="L87" s="2">
        <f t="shared" si="23"/>
        <v>10.61</v>
      </c>
    </row>
    <row r="88" spans="4:12" ht="15">
      <c r="D88" s="2">
        <v>230</v>
      </c>
      <c r="E88" s="2" t="s">
        <v>69</v>
      </c>
      <c r="F88" s="2">
        <v>1723</v>
      </c>
      <c r="G88" s="2">
        <v>1</v>
      </c>
      <c r="H88" s="2">
        <v>1</v>
      </c>
      <c r="I88" s="2">
        <v>1</v>
      </c>
      <c r="J88" s="2">
        <v>1</v>
      </c>
      <c r="K88" s="2">
        <v>1.05</v>
      </c>
      <c r="L88" s="2">
        <f t="shared" si="23"/>
        <v>1809.15</v>
      </c>
    </row>
    <row r="89" spans="4:12" ht="15">
      <c r="D89" s="2">
        <v>232.5</v>
      </c>
      <c r="E89" s="2" t="s">
        <v>66</v>
      </c>
      <c r="F89" s="2">
        <v>10.1</v>
      </c>
      <c r="G89" s="2">
        <v>1</v>
      </c>
      <c r="H89" s="2">
        <v>1</v>
      </c>
      <c r="I89" s="2">
        <v>1</v>
      </c>
      <c r="J89" s="2">
        <v>1</v>
      </c>
      <c r="K89" s="2">
        <v>1.05</v>
      </c>
      <c r="L89" s="2">
        <f t="shared" si="23"/>
        <v>10.61</v>
      </c>
    </row>
    <row r="90" spans="4:12" ht="15">
      <c r="D90" s="2">
        <v>235</v>
      </c>
      <c r="E90" s="2" t="s">
        <v>66</v>
      </c>
      <c r="F90" s="2">
        <v>10.1</v>
      </c>
      <c r="G90" s="2">
        <v>1</v>
      </c>
      <c r="H90" s="2">
        <v>1</v>
      </c>
      <c r="I90" s="2">
        <v>1</v>
      </c>
      <c r="J90" s="2">
        <v>1</v>
      </c>
      <c r="K90" s="2">
        <v>1.05</v>
      </c>
      <c r="L90" s="2">
        <f t="shared" si="23"/>
        <v>10.61</v>
      </c>
    </row>
    <row r="91" spans="4:12" ht="15">
      <c r="D91" s="2">
        <v>237.5</v>
      </c>
      <c r="E91" s="2" t="s">
        <v>66</v>
      </c>
      <c r="F91" s="2">
        <v>10.1</v>
      </c>
      <c r="G91" s="2">
        <v>1</v>
      </c>
      <c r="H91" s="2">
        <v>1</v>
      </c>
      <c r="I91" s="2">
        <v>1</v>
      </c>
      <c r="J91" s="2">
        <v>1</v>
      </c>
      <c r="K91" s="2">
        <v>1.05</v>
      </c>
      <c r="L91" s="2">
        <f t="shared" si="23"/>
        <v>10.61</v>
      </c>
    </row>
    <row r="92" spans="4:12" ht="15">
      <c r="D92" s="2">
        <v>240</v>
      </c>
      <c r="E92" s="2" t="s">
        <v>68</v>
      </c>
      <c r="F92" s="2">
        <v>42.38</v>
      </c>
      <c r="G92" s="2">
        <v>1</v>
      </c>
      <c r="H92" s="2">
        <v>1</v>
      </c>
      <c r="I92" s="2">
        <v>1.25</v>
      </c>
      <c r="J92" s="2">
        <v>1</v>
      </c>
      <c r="K92" s="2">
        <v>1.05</v>
      </c>
      <c r="L92" s="2">
        <f t="shared" si="23"/>
        <v>55.62</v>
      </c>
    </row>
    <row r="93" spans="4:12" ht="15">
      <c r="D93" s="2">
        <v>242.5</v>
      </c>
      <c r="E93" s="2" t="s">
        <v>66</v>
      </c>
      <c r="F93" s="2">
        <v>10.1</v>
      </c>
      <c r="G93" s="2">
        <v>1</v>
      </c>
      <c r="H93" s="2">
        <v>1</v>
      </c>
      <c r="I93" s="2">
        <v>1.25</v>
      </c>
      <c r="J93" s="2">
        <v>1</v>
      </c>
      <c r="K93" s="2">
        <v>1.05</v>
      </c>
      <c r="L93" s="2">
        <f t="shared" si="23"/>
        <v>13.26</v>
      </c>
    </row>
    <row r="94" spans="4:12" ht="15">
      <c r="D94" s="2">
        <v>245</v>
      </c>
      <c r="E94" s="2" t="s">
        <v>66</v>
      </c>
      <c r="F94" s="2">
        <v>10.1</v>
      </c>
      <c r="G94" s="2">
        <v>1</v>
      </c>
      <c r="H94" s="2">
        <v>1</v>
      </c>
      <c r="I94" s="2">
        <v>1.25</v>
      </c>
      <c r="J94" s="2">
        <v>1</v>
      </c>
      <c r="K94" s="2">
        <v>1.05</v>
      </c>
      <c r="L94" s="2">
        <f t="shared" si="23"/>
        <v>13.26</v>
      </c>
    </row>
    <row r="95" spans="4:12" ht="15">
      <c r="D95" s="2">
        <v>247.5</v>
      </c>
      <c r="E95" s="2" t="s">
        <v>66</v>
      </c>
      <c r="F95" s="2">
        <v>10.1</v>
      </c>
      <c r="G95" s="2">
        <v>1</v>
      </c>
      <c r="H95" s="2">
        <v>1</v>
      </c>
      <c r="I95" s="2">
        <v>1.25</v>
      </c>
      <c r="J95" s="2">
        <v>1</v>
      </c>
      <c r="K95" s="2">
        <v>1.05</v>
      </c>
      <c r="L95" s="2">
        <f t="shared" si="23"/>
        <v>13.26</v>
      </c>
    </row>
    <row r="96" spans="4:8" ht="15">
      <c r="D96" s="28" t="s">
        <v>237</v>
      </c>
      <c r="E96" s="28"/>
      <c r="F96" s="28"/>
      <c r="G96" s="28"/>
      <c r="H96" s="28"/>
    </row>
    <row r="97" spans="4:8" ht="15">
      <c r="D97" s="47" t="s">
        <v>70</v>
      </c>
      <c r="E97" s="41" t="s">
        <v>71</v>
      </c>
      <c r="F97" s="42"/>
      <c r="G97" s="41" t="s">
        <v>74</v>
      </c>
      <c r="H97" s="42"/>
    </row>
    <row r="98" spans="4:8" ht="15">
      <c r="D98" s="48"/>
      <c r="E98" s="18" t="s">
        <v>72</v>
      </c>
      <c r="F98" s="18" t="s">
        <v>73</v>
      </c>
      <c r="G98" s="18" t="s">
        <v>72</v>
      </c>
      <c r="H98" s="18" t="s">
        <v>73</v>
      </c>
    </row>
    <row r="99" spans="4:8" ht="15">
      <c r="D99" s="2" t="s">
        <v>69</v>
      </c>
      <c r="E99" s="2">
        <v>1</v>
      </c>
      <c r="F99" s="2">
        <f>E99*E37</f>
        <v>127</v>
      </c>
      <c r="G99" s="2">
        <f>ROUNDUP(L88,1)</f>
        <v>1809.1999999999998</v>
      </c>
      <c r="H99" s="2">
        <f>ROUNDUP(G99*E37,0)</f>
        <v>229769</v>
      </c>
    </row>
    <row r="100" spans="4:8" ht="15">
      <c r="D100" s="2" t="s">
        <v>67</v>
      </c>
      <c r="E100" s="2">
        <v>4</v>
      </c>
      <c r="F100" s="2">
        <f>E100*E37</f>
        <v>508</v>
      </c>
      <c r="G100" s="2">
        <f>ROUNDUP(L78+L82+L86+L92,1)</f>
        <v>173.79999999999998</v>
      </c>
      <c r="H100" s="2">
        <f>ROUNDUP(G100*E37,0)</f>
        <v>22073</v>
      </c>
    </row>
    <row r="101" spans="4:8" ht="15">
      <c r="D101" s="2" t="s">
        <v>66</v>
      </c>
      <c r="E101" s="2">
        <v>15</v>
      </c>
      <c r="F101" s="2">
        <f>E101*E37</f>
        <v>1905</v>
      </c>
      <c r="G101" s="2">
        <f>ROUNDUP(L76+L77+L79+L80+L81+L83+L84+L85+L87+L89+L90+L91+L93+L94+L95,1)</f>
        <v>180.4</v>
      </c>
      <c r="H101" s="2">
        <f>ROUNDUP(G101*E37,0)</f>
        <v>22911</v>
      </c>
    </row>
    <row r="102" spans="4:9" ht="15">
      <c r="D102" s="27" t="s">
        <v>238</v>
      </c>
      <c r="E102" s="27"/>
      <c r="F102" s="27"/>
      <c r="G102" s="27"/>
      <c r="H102" s="27"/>
      <c r="I102" s="27"/>
    </row>
    <row r="103" spans="4:9" ht="15">
      <c r="D103" s="44" t="s">
        <v>58</v>
      </c>
      <c r="E103" s="43" t="s">
        <v>77</v>
      </c>
      <c r="F103" s="43" t="s">
        <v>78</v>
      </c>
      <c r="G103" s="43" t="s">
        <v>79</v>
      </c>
      <c r="H103" s="46" t="s">
        <v>80</v>
      </c>
      <c r="I103" s="43" t="s">
        <v>81</v>
      </c>
    </row>
    <row r="104" spans="4:9" ht="15">
      <c r="D104" s="45"/>
      <c r="E104" s="43"/>
      <c r="F104" s="43"/>
      <c r="G104" s="43"/>
      <c r="H104" s="46"/>
      <c r="I104" s="43"/>
    </row>
    <row r="105" spans="4:9" ht="15">
      <c r="D105" s="2" t="s">
        <v>69</v>
      </c>
      <c r="E105" s="2">
        <v>127</v>
      </c>
      <c r="F105" s="2">
        <v>8</v>
      </c>
      <c r="G105" s="2">
        <f>E105*8*8</f>
        <v>8128</v>
      </c>
      <c r="H105" s="11">
        <f>E105*8*24</f>
        <v>24384</v>
      </c>
      <c r="I105" s="2">
        <f>ROUNDUP(E105*8*E34,0)</f>
        <v>12507</v>
      </c>
    </row>
    <row r="106" spans="4:9" ht="15">
      <c r="D106" s="2" t="s">
        <v>67</v>
      </c>
      <c r="E106" s="2">
        <v>508</v>
      </c>
      <c r="F106" s="2">
        <v>1</v>
      </c>
      <c r="G106" s="2">
        <f>E106*1*8</f>
        <v>4064</v>
      </c>
      <c r="H106" s="11">
        <f>E106*1*24</f>
        <v>12192</v>
      </c>
      <c r="I106" s="2">
        <f>E106*1*E34</f>
        <v>6253.4800000000005</v>
      </c>
    </row>
    <row r="107" spans="4:9" ht="15">
      <c r="D107" s="2" t="s">
        <v>66</v>
      </c>
      <c r="E107" s="2">
        <v>1905</v>
      </c>
      <c r="F107" s="2">
        <v>2</v>
      </c>
      <c r="G107" s="2">
        <f>E107*2</f>
        <v>3810</v>
      </c>
      <c r="H107" s="11">
        <f>E107*2</f>
        <v>3810</v>
      </c>
      <c r="I107" s="2">
        <f>E107*2</f>
        <v>3810</v>
      </c>
    </row>
    <row r="108" ht="15">
      <c r="I108" s="21">
        <f>ROUNDUP(SUM(I105:I107),0)</f>
        <v>22571</v>
      </c>
    </row>
    <row r="109" spans="4:9" ht="15">
      <c r="D109" s="27" t="s">
        <v>239</v>
      </c>
      <c r="E109" s="27"/>
      <c r="F109" s="27"/>
      <c r="G109" s="27"/>
      <c r="H109" s="27"/>
      <c r="I109" s="27"/>
    </row>
    <row r="110" spans="4:13" ht="15">
      <c r="D110" s="18" t="s">
        <v>82</v>
      </c>
      <c r="E110" s="18">
        <f>I106/(24*E38)</f>
        <v>1.0258333333333334</v>
      </c>
      <c r="F110" s="18" t="s">
        <v>85</v>
      </c>
      <c r="G110" s="18">
        <v>2</v>
      </c>
      <c r="H110" s="18" t="s">
        <v>86</v>
      </c>
      <c r="I110" s="18">
        <v>1</v>
      </c>
      <c r="J110" s="18" t="s">
        <v>87</v>
      </c>
      <c r="K110" s="18">
        <f>$E$38*(E110-I110)</f>
        <v>6.561666666666677</v>
      </c>
      <c r="L110" s="18" t="s">
        <v>88</v>
      </c>
      <c r="M110" s="18">
        <f>$E$38*(G110-E110)</f>
        <v>247.43833333333333</v>
      </c>
    </row>
    <row r="111" spans="4:13" ht="15">
      <c r="D111" s="18" t="s">
        <v>83</v>
      </c>
      <c r="E111" s="18">
        <f>I107/(8*E38)</f>
        <v>1.875</v>
      </c>
      <c r="F111" s="18" t="s">
        <v>89</v>
      </c>
      <c r="G111" s="18">
        <v>2</v>
      </c>
      <c r="H111" s="18" t="s">
        <v>90</v>
      </c>
      <c r="I111" s="18">
        <v>1</v>
      </c>
      <c r="J111" s="18" t="s">
        <v>87</v>
      </c>
      <c r="K111" s="18">
        <f>$E$38*(E111-I111)</f>
        <v>222.25</v>
      </c>
      <c r="L111" s="18" t="s">
        <v>88</v>
      </c>
      <c r="M111" s="18">
        <f>$E$38*(G111-E111)</f>
        <v>31.75</v>
      </c>
    </row>
    <row r="112" spans="4:13" ht="15">
      <c r="D112" s="18" t="s">
        <v>84</v>
      </c>
      <c r="E112" s="18">
        <f>I105/(8*E38)</f>
        <v>6.15501968503937</v>
      </c>
      <c r="F112" s="18" t="s">
        <v>91</v>
      </c>
      <c r="G112" s="18">
        <v>7</v>
      </c>
      <c r="H112" s="18" t="s">
        <v>92</v>
      </c>
      <c r="I112" s="18">
        <v>6</v>
      </c>
      <c r="J112" s="18" t="s">
        <v>87</v>
      </c>
      <c r="K112" s="18">
        <f>$E$38*(E112-I112)</f>
        <v>39.37500000000007</v>
      </c>
      <c r="L112" s="18" t="s">
        <v>88</v>
      </c>
      <c r="M112" s="18">
        <f>$E$38*(G112-E112)</f>
        <v>214.62499999999994</v>
      </c>
    </row>
    <row r="113" spans="4:5" ht="15">
      <c r="D113" s="18" t="s">
        <v>93</v>
      </c>
      <c r="E113" s="18">
        <f>G110+G111+G112</f>
        <v>11</v>
      </c>
    </row>
    <row r="114" spans="4:5" ht="15">
      <c r="D114" s="18" t="s">
        <v>37</v>
      </c>
      <c r="E114" s="18">
        <f>ROUNDUP(1.1*E16+E113,0)</f>
        <v>123</v>
      </c>
    </row>
    <row r="115" spans="4:5" ht="15">
      <c r="D115" s="18" t="s">
        <v>94</v>
      </c>
      <c r="E115" s="20">
        <f>E16/E114</f>
        <v>0.8219418500852478</v>
      </c>
    </row>
    <row r="116" spans="4:5" ht="15">
      <c r="D116" s="18" t="s">
        <v>123</v>
      </c>
      <c r="E116" s="17">
        <f>365*E117*E114</f>
        <v>33299.74981429996</v>
      </c>
    </row>
    <row r="117" spans="4:5" ht="15">
      <c r="D117" s="18" t="s">
        <v>95</v>
      </c>
      <c r="E117" s="17">
        <f>(E16*E38+G16*E39)/(365*E114)</f>
        <v>0.7417251322931275</v>
      </c>
    </row>
    <row r="119" spans="4:8" ht="15">
      <c r="D119" s="24" t="s">
        <v>240</v>
      </c>
      <c r="E119" s="24"/>
      <c r="F119" s="24"/>
      <c r="G119" s="24"/>
      <c r="H119" s="24"/>
    </row>
    <row r="120" spans="4:6" ht="15">
      <c r="D120" s="18" t="s">
        <v>97</v>
      </c>
      <c r="E120" s="18">
        <f>ROUNDUP(E121*E114,1)</f>
        <v>276.8</v>
      </c>
      <c r="F120" t="s">
        <v>243</v>
      </c>
    </row>
    <row r="121" spans="4:6" ht="15">
      <c r="D121" s="18" t="s">
        <v>96</v>
      </c>
      <c r="E121" s="18">
        <v>2.25</v>
      </c>
      <c r="F121" t="s">
        <v>243</v>
      </c>
    </row>
    <row r="122" spans="4:6" ht="15">
      <c r="D122" s="18" t="s">
        <v>98</v>
      </c>
      <c r="E122" s="18">
        <f>ROUNDUP(E120/E123,0)</f>
        <v>31</v>
      </c>
      <c r="F122" t="s">
        <v>242</v>
      </c>
    </row>
    <row r="123" spans="4:6" ht="15">
      <c r="D123" s="18" t="s">
        <v>99</v>
      </c>
      <c r="E123" s="18">
        <v>9</v>
      </c>
      <c r="F123" t="s">
        <v>225</v>
      </c>
    </row>
    <row r="124" spans="4:6" ht="15">
      <c r="D124" s="18" t="s">
        <v>100</v>
      </c>
      <c r="E124" s="18">
        <f>ROUNDUP(E122/E125,0)</f>
        <v>4</v>
      </c>
      <c r="F124" t="s">
        <v>227</v>
      </c>
    </row>
    <row r="125" spans="4:6" ht="15">
      <c r="D125" s="18" t="s">
        <v>101</v>
      </c>
      <c r="E125" s="18">
        <v>8</v>
      </c>
      <c r="F125" t="s">
        <v>242</v>
      </c>
    </row>
    <row r="126" spans="4:8" ht="15">
      <c r="D126" s="27" t="s">
        <v>241</v>
      </c>
      <c r="E126" s="27"/>
      <c r="F126" s="27"/>
      <c r="G126" s="27"/>
      <c r="H126" s="27"/>
    </row>
    <row r="127" spans="3:18" ht="15">
      <c r="C127" s="41" t="s">
        <v>102</v>
      </c>
      <c r="D127" s="42"/>
      <c r="E127" s="41">
        <v>1</v>
      </c>
      <c r="F127" s="42"/>
      <c r="G127" s="41">
        <v>2</v>
      </c>
      <c r="H127" s="42"/>
      <c r="I127" s="41">
        <v>3</v>
      </c>
      <c r="J127" s="42"/>
      <c r="K127" s="41">
        <v>4</v>
      </c>
      <c r="L127" s="42"/>
      <c r="M127" s="41">
        <v>5</v>
      </c>
      <c r="N127" s="42"/>
      <c r="O127" s="41">
        <v>6</v>
      </c>
      <c r="P127" s="42"/>
      <c r="Q127" s="41">
        <v>7</v>
      </c>
      <c r="R127" s="42"/>
    </row>
    <row r="128" spans="3:18" ht="15">
      <c r="C128" s="41" t="s">
        <v>103</v>
      </c>
      <c r="D128" s="42"/>
      <c r="E128" s="18" t="s">
        <v>104</v>
      </c>
      <c r="F128" s="18" t="s">
        <v>105</v>
      </c>
      <c r="G128" s="18" t="s">
        <v>104</v>
      </c>
      <c r="H128" s="18" t="s">
        <v>105</v>
      </c>
      <c r="I128" s="18" t="s">
        <v>104</v>
      </c>
      <c r="J128" s="18" t="s">
        <v>105</v>
      </c>
      <c r="K128" s="18" t="s">
        <v>104</v>
      </c>
      <c r="L128" s="18" t="s">
        <v>105</v>
      </c>
      <c r="M128" s="18" t="s">
        <v>104</v>
      </c>
      <c r="N128" s="18" t="s">
        <v>105</v>
      </c>
      <c r="O128" s="18" t="s">
        <v>104</v>
      </c>
      <c r="P128" s="18" t="s">
        <v>105</v>
      </c>
      <c r="Q128" s="18" t="s">
        <v>104</v>
      </c>
      <c r="R128" s="18" t="s">
        <v>105</v>
      </c>
    </row>
    <row r="129" spans="3:18" ht="15">
      <c r="C129" s="38" t="s">
        <v>106</v>
      </c>
      <c r="D129" s="18">
        <v>1</v>
      </c>
      <c r="E129" s="18"/>
      <c r="F129" s="18" t="s">
        <v>107</v>
      </c>
      <c r="G129" s="18"/>
      <c r="H129" s="18"/>
      <c r="I129" s="18"/>
      <c r="J129" s="18" t="s">
        <v>107</v>
      </c>
      <c r="K129" s="18"/>
      <c r="L129" s="18" t="s">
        <v>108</v>
      </c>
      <c r="M129" s="18"/>
      <c r="N129" s="18"/>
      <c r="O129" s="18"/>
      <c r="P129" s="18"/>
      <c r="Q129" s="18"/>
      <c r="R129" s="18" t="s">
        <v>107</v>
      </c>
    </row>
    <row r="130" spans="3:18" ht="15">
      <c r="C130" s="39"/>
      <c r="D130" s="18">
        <v>2</v>
      </c>
      <c r="E130" s="18"/>
      <c r="F130" s="18" t="s">
        <v>108</v>
      </c>
      <c r="G130" s="18"/>
      <c r="H130" s="18" t="s">
        <v>107</v>
      </c>
      <c r="I130" s="18"/>
      <c r="J130" s="18"/>
      <c r="K130" s="18"/>
      <c r="L130" s="18" t="s">
        <v>107</v>
      </c>
      <c r="M130" s="18"/>
      <c r="N130" s="18"/>
      <c r="O130" s="18"/>
      <c r="P130" s="18"/>
      <c r="Q130" s="18"/>
      <c r="R130" s="18" t="s">
        <v>107</v>
      </c>
    </row>
    <row r="131" spans="3:18" ht="15">
      <c r="C131" s="39"/>
      <c r="D131" s="18">
        <v>3</v>
      </c>
      <c r="E131" s="18" t="s">
        <v>108</v>
      </c>
      <c r="F131" s="18"/>
      <c r="G131" s="18"/>
      <c r="H131" s="18" t="s">
        <v>107</v>
      </c>
      <c r="I131" s="18"/>
      <c r="J131" s="18" t="s">
        <v>108</v>
      </c>
      <c r="K131" s="18"/>
      <c r="L131" s="18"/>
      <c r="M131" s="18"/>
      <c r="N131" s="18" t="s">
        <v>107</v>
      </c>
      <c r="O131" s="18"/>
      <c r="P131" s="18"/>
      <c r="Q131" s="18"/>
      <c r="R131" s="18"/>
    </row>
    <row r="132" spans="3:18" ht="15">
      <c r="C132" s="40"/>
      <c r="D132" s="18">
        <v>4</v>
      </c>
      <c r="E132" s="18"/>
      <c r="F132" s="18" t="s">
        <v>107</v>
      </c>
      <c r="G132" s="18"/>
      <c r="H132" s="18"/>
      <c r="I132" s="18"/>
      <c r="J132" s="18" t="s">
        <v>107</v>
      </c>
      <c r="K132" s="18"/>
      <c r="L132" s="18"/>
      <c r="M132" s="18"/>
      <c r="N132" s="18" t="s">
        <v>107</v>
      </c>
      <c r="O132" s="18" t="s">
        <v>108</v>
      </c>
      <c r="P132" s="18"/>
      <c r="Q132" s="18"/>
      <c r="R132" s="18"/>
    </row>
    <row r="134" spans="4:6" ht="15">
      <c r="D134" s="18" t="s">
        <v>109</v>
      </c>
      <c r="E134" s="18">
        <f>ROUND(E114*E115*1.7,0)</f>
        <v>172</v>
      </c>
      <c r="F134" t="s">
        <v>244</v>
      </c>
    </row>
    <row r="135" spans="4:6" ht="15">
      <c r="D135" s="18" t="s">
        <v>113</v>
      </c>
      <c r="E135" s="18">
        <f>ROUNDUP(E134*E136,0)</f>
        <v>190</v>
      </c>
      <c r="F135" t="s">
        <v>244</v>
      </c>
    </row>
    <row r="136" spans="4:5" ht="15">
      <c r="D136" s="18" t="s">
        <v>110</v>
      </c>
      <c r="E136" s="18">
        <f>ROUND((1+(24/365))*E137,1)</f>
        <v>1.1</v>
      </c>
    </row>
    <row r="137" spans="4:5" ht="15">
      <c r="D137" s="18" t="s">
        <v>111</v>
      </c>
      <c r="E137" s="18">
        <v>1.04</v>
      </c>
    </row>
    <row r="138" spans="4:9" ht="15">
      <c r="D138" s="24" t="s">
        <v>245</v>
      </c>
      <c r="E138" s="24"/>
      <c r="F138" s="24"/>
      <c r="G138" s="24"/>
      <c r="H138" s="24"/>
      <c r="I138" s="24"/>
    </row>
    <row r="139" spans="4:5" ht="15">
      <c r="D139" s="18" t="s">
        <v>112</v>
      </c>
      <c r="E139" s="18">
        <f>E135/50</f>
        <v>3.8</v>
      </c>
    </row>
    <row r="140" spans="4:6" ht="15">
      <c r="D140" s="18" t="s">
        <v>115</v>
      </c>
      <c r="E140" s="18">
        <f>ROUNDUP(H99/E143,0)</f>
        <v>121</v>
      </c>
      <c r="F140" t="s">
        <v>244</v>
      </c>
    </row>
    <row r="141" spans="4:10" ht="15">
      <c r="D141" s="18" t="s">
        <v>120</v>
      </c>
      <c r="E141" s="18">
        <f>ROUNDUP(H100/E143,0)</f>
        <v>12</v>
      </c>
      <c r="F141" t="s">
        <v>244</v>
      </c>
      <c r="J141" s="22"/>
    </row>
    <row r="142" spans="4:6" ht="15">
      <c r="D142" s="18" t="s">
        <v>121</v>
      </c>
      <c r="E142" s="18">
        <f>ROUNDUP(H101/E143,0)</f>
        <v>13</v>
      </c>
      <c r="F142" t="s">
        <v>244</v>
      </c>
    </row>
    <row r="143" spans="4:6" ht="15">
      <c r="D143" s="18" t="s">
        <v>116</v>
      </c>
      <c r="E143" s="18">
        <f>ROUNDUP((E38*E144+E146*E145)/E136,0)</f>
        <v>1905</v>
      </c>
      <c r="F143" t="s">
        <v>225</v>
      </c>
    </row>
    <row r="144" spans="4:5" ht="15">
      <c r="D144" s="18" t="s">
        <v>117</v>
      </c>
      <c r="E144" s="18">
        <v>8</v>
      </c>
    </row>
    <row r="145" spans="4:5" ht="15">
      <c r="D145" s="18" t="s">
        <v>118</v>
      </c>
      <c r="E145" s="18">
        <v>7</v>
      </c>
    </row>
    <row r="146" spans="4:5" ht="15">
      <c r="D146" s="18" t="s">
        <v>119</v>
      </c>
      <c r="E146" s="18">
        <v>9</v>
      </c>
    </row>
    <row r="147" spans="4:6" ht="15">
      <c r="D147" s="18" t="s">
        <v>122</v>
      </c>
      <c r="E147" s="18">
        <f>E146*E123</f>
        <v>81</v>
      </c>
      <c r="F147" t="s">
        <v>244</v>
      </c>
    </row>
    <row r="148" spans="4:6" ht="15">
      <c r="D148" s="23" t="s">
        <v>114</v>
      </c>
      <c r="E148" s="23">
        <v>4</v>
      </c>
      <c r="F148" t="s">
        <v>227</v>
      </c>
    </row>
    <row r="149" spans="4:6" ht="15">
      <c r="D149" s="18" t="s">
        <v>246</v>
      </c>
      <c r="E149" s="18">
        <f>ROUNDUP((E140+E141+E142)*E150,0)</f>
        <v>37</v>
      </c>
      <c r="F149" t="s">
        <v>244</v>
      </c>
    </row>
    <row r="150" spans="4:5" ht="15">
      <c r="D150" s="2" t="s">
        <v>247</v>
      </c>
      <c r="E150" s="2">
        <v>0.25</v>
      </c>
    </row>
    <row r="153" spans="2:8" ht="15">
      <c r="B153" s="24" t="s">
        <v>248</v>
      </c>
      <c r="C153" s="24"/>
      <c r="D153" s="24"/>
      <c r="E153" s="24"/>
      <c r="F153" s="24"/>
      <c r="G153" s="24"/>
      <c r="H153" s="24"/>
    </row>
    <row r="154" spans="4:6" ht="15">
      <c r="D154" s="18" t="s">
        <v>125</v>
      </c>
      <c r="E154" s="18">
        <f>540/40</f>
        <v>13.5</v>
      </c>
      <c r="F154" t="s">
        <v>249</v>
      </c>
    </row>
    <row r="155" spans="4:5" ht="15">
      <c r="D155" s="18" t="s">
        <v>124</v>
      </c>
      <c r="E155" s="18">
        <f>ROUND(E114*E117,2)</f>
        <v>91.23</v>
      </c>
    </row>
    <row r="156" spans="4:6" ht="15">
      <c r="D156" s="18" t="s">
        <v>123</v>
      </c>
      <c r="E156" s="18">
        <f>ROUND(E155/E154,2)</f>
        <v>6.76</v>
      </c>
      <c r="F156" t="s">
        <v>250</v>
      </c>
    </row>
    <row r="157" spans="4:5" ht="15">
      <c r="D157" s="18" t="s">
        <v>126</v>
      </c>
      <c r="E157" s="18">
        <f>ROUNDUP((E155*E158*E159)/E160,0)</f>
        <v>1</v>
      </c>
    </row>
    <row r="158" spans="4:5" ht="15">
      <c r="D158" s="18" t="s">
        <v>127</v>
      </c>
      <c r="E158" s="18">
        <v>0.02</v>
      </c>
    </row>
    <row r="159" spans="4:5" ht="15">
      <c r="D159" s="18" t="s">
        <v>128</v>
      </c>
      <c r="E159" s="18">
        <v>120</v>
      </c>
    </row>
    <row r="160" spans="4:5" ht="15">
      <c r="D160" s="18" t="s">
        <v>129</v>
      </c>
      <c r="E160" s="18">
        <v>480</v>
      </c>
    </row>
    <row r="161" spans="4:5" ht="15">
      <c r="D161" s="18" t="s">
        <v>130</v>
      </c>
      <c r="E161" s="18">
        <f>ROUNDUP(E157/3,0)</f>
        <v>1</v>
      </c>
    </row>
    <row r="162" spans="4:6" ht="15">
      <c r="D162" s="18" t="s">
        <v>131</v>
      </c>
      <c r="E162" s="18">
        <f>ROUNDUP(2*E163+2*E164+2*E165+E168*E166+(E168-1)*E167,0)</f>
        <v>110</v>
      </c>
      <c r="F162" t="s">
        <v>251</v>
      </c>
    </row>
    <row r="163" spans="4:6" ht="15">
      <c r="D163" s="18" t="s">
        <v>136</v>
      </c>
      <c r="E163" s="18">
        <v>2</v>
      </c>
      <c r="F163" t="s">
        <v>251</v>
      </c>
    </row>
    <row r="164" spans="4:6" ht="15">
      <c r="D164" s="18" t="s">
        <v>132</v>
      </c>
      <c r="E164" s="18">
        <v>1.25</v>
      </c>
      <c r="F164" t="s">
        <v>251</v>
      </c>
    </row>
    <row r="165" spans="4:6" ht="15">
      <c r="D165" s="18" t="s">
        <v>133</v>
      </c>
      <c r="E165" s="18">
        <v>0.5</v>
      </c>
      <c r="F165" t="s">
        <v>251</v>
      </c>
    </row>
    <row r="166" spans="4:6" ht="15">
      <c r="D166" s="18" t="s">
        <v>134</v>
      </c>
      <c r="E166" s="18">
        <v>11.83</v>
      </c>
      <c r="F166" t="s">
        <v>251</v>
      </c>
    </row>
    <row r="167" spans="4:6" ht="15">
      <c r="D167" s="18" t="s">
        <v>135</v>
      </c>
      <c r="E167" s="18">
        <v>1</v>
      </c>
      <c r="F167" t="s">
        <v>251</v>
      </c>
    </row>
    <row r="168" spans="4:5" ht="15">
      <c r="D168" s="18" t="s">
        <v>137</v>
      </c>
      <c r="E168" s="18">
        <v>8</v>
      </c>
    </row>
    <row r="172" spans="3:7" ht="15">
      <c r="C172" s="24" t="s">
        <v>252</v>
      </c>
      <c r="D172" s="24"/>
      <c r="E172" s="24"/>
      <c r="F172" s="24"/>
      <c r="G172" s="24"/>
    </row>
    <row r="173" spans="4:6" ht="15">
      <c r="D173" s="18" t="s">
        <v>138</v>
      </c>
      <c r="E173" s="18">
        <f>ROUNDUP((E174*E177)/E38,0)</f>
        <v>2</v>
      </c>
      <c r="F173" t="s">
        <v>253</v>
      </c>
    </row>
    <row r="174" spans="4:5" ht="15">
      <c r="D174" s="18" t="s">
        <v>139</v>
      </c>
      <c r="E174" s="18">
        <v>3</v>
      </c>
    </row>
    <row r="175" spans="4:5" ht="15">
      <c r="D175" s="18" t="s">
        <v>142</v>
      </c>
      <c r="E175" s="18">
        <v>8</v>
      </c>
    </row>
    <row r="176" spans="4:5" ht="15">
      <c r="D176" s="18" t="s">
        <v>139</v>
      </c>
      <c r="E176" s="18">
        <v>3</v>
      </c>
    </row>
    <row r="177" spans="4:5" ht="15">
      <c r="D177" s="18" t="s">
        <v>140</v>
      </c>
      <c r="E177" s="18">
        <v>94</v>
      </c>
    </row>
    <row r="178" spans="4:6" ht="15">
      <c r="D178" s="18" t="s">
        <v>141</v>
      </c>
      <c r="E178" s="18">
        <f>ROUNDUP(((E175-E176)*E177)/E38,0)</f>
        <v>2</v>
      </c>
      <c r="F178" t="s">
        <v>253</v>
      </c>
    </row>
    <row r="179" spans="4:6" ht="15">
      <c r="D179" s="18" t="s">
        <v>159</v>
      </c>
      <c r="E179" s="18">
        <f>ROUNDUP(E140+E141+E142,0)</f>
        <v>146</v>
      </c>
      <c r="F179" t="s">
        <v>244</v>
      </c>
    </row>
    <row r="184" spans="2:7" ht="15">
      <c r="B184" s="24" t="s">
        <v>254</v>
      </c>
      <c r="C184" s="24"/>
      <c r="D184" s="24"/>
      <c r="E184" s="24"/>
      <c r="F184" s="24"/>
      <c r="G184" s="24"/>
    </row>
    <row r="186" spans="1:6" ht="15">
      <c r="A186" s="33" t="s">
        <v>143</v>
      </c>
      <c r="B186" s="33"/>
      <c r="C186" s="34" t="s">
        <v>144</v>
      </c>
      <c r="D186" s="35" t="s">
        <v>145</v>
      </c>
      <c r="E186" s="35"/>
      <c r="F186" s="34" t="s">
        <v>148</v>
      </c>
    </row>
    <row r="187" spans="1:6" ht="15">
      <c r="A187" s="33"/>
      <c r="B187" s="33"/>
      <c r="C187" s="34"/>
      <c r="D187" s="10" t="s">
        <v>146</v>
      </c>
      <c r="E187" s="10" t="s">
        <v>147</v>
      </c>
      <c r="F187" s="34"/>
    </row>
    <row r="188" spans="1:6" ht="15">
      <c r="A188" s="36" t="s">
        <v>149</v>
      </c>
      <c r="B188" s="36"/>
      <c r="C188" s="2">
        <v>18</v>
      </c>
      <c r="D188" s="2">
        <v>25</v>
      </c>
      <c r="E188" s="2">
        <v>10</v>
      </c>
      <c r="F188" s="2">
        <f>D188+E188*(C188-1)</f>
        <v>195</v>
      </c>
    </row>
    <row r="189" spans="1:6" ht="15">
      <c r="A189" s="36" t="s">
        <v>150</v>
      </c>
      <c r="B189" s="36"/>
      <c r="C189" s="2">
        <v>18</v>
      </c>
      <c r="D189" s="2">
        <v>20</v>
      </c>
      <c r="E189" s="2">
        <v>10</v>
      </c>
      <c r="F189" s="2">
        <f aca="true" t="shared" si="24" ref="F189:F197">D189+E189*(C189-1)</f>
        <v>190</v>
      </c>
    </row>
    <row r="190" spans="1:6" ht="15">
      <c r="A190" s="36" t="s">
        <v>151</v>
      </c>
      <c r="B190" s="36"/>
      <c r="C190" s="2">
        <v>9</v>
      </c>
      <c r="D190" s="2">
        <v>30</v>
      </c>
      <c r="E190" s="2">
        <v>15</v>
      </c>
      <c r="F190" s="2">
        <f t="shared" si="24"/>
        <v>150</v>
      </c>
    </row>
    <row r="191" spans="1:6" ht="15">
      <c r="A191" s="36" t="s">
        <v>152</v>
      </c>
      <c r="B191" s="36"/>
      <c r="C191" s="2">
        <v>8</v>
      </c>
      <c r="D191" s="2">
        <v>15</v>
      </c>
      <c r="E191" s="2">
        <v>10</v>
      </c>
      <c r="F191" s="2">
        <f t="shared" si="24"/>
        <v>85</v>
      </c>
    </row>
    <row r="192" spans="1:6" ht="15">
      <c r="A192" s="25" t="s">
        <v>153</v>
      </c>
      <c r="B192" s="26"/>
      <c r="C192" s="2">
        <v>7</v>
      </c>
      <c r="D192" s="2">
        <v>20</v>
      </c>
      <c r="E192" s="2">
        <v>10</v>
      </c>
      <c r="F192" s="2">
        <f t="shared" si="24"/>
        <v>80</v>
      </c>
    </row>
    <row r="193" spans="1:6" ht="15">
      <c r="A193" s="25" t="s">
        <v>154</v>
      </c>
      <c r="B193" s="26"/>
      <c r="C193" s="2">
        <v>5</v>
      </c>
      <c r="D193" s="2">
        <v>20</v>
      </c>
      <c r="E193" s="2">
        <v>10</v>
      </c>
      <c r="F193" s="2">
        <f t="shared" si="24"/>
        <v>60</v>
      </c>
    </row>
    <row r="194" spans="1:6" ht="15">
      <c r="A194" s="25" t="s">
        <v>155</v>
      </c>
      <c r="B194" s="26"/>
      <c r="C194" s="2">
        <v>48</v>
      </c>
      <c r="D194" s="2">
        <v>20</v>
      </c>
      <c r="E194" s="2">
        <v>8</v>
      </c>
      <c r="F194" s="2">
        <f t="shared" si="24"/>
        <v>396</v>
      </c>
    </row>
    <row r="195" spans="1:6" ht="15">
      <c r="A195" s="25" t="s">
        <v>156</v>
      </c>
      <c r="B195" s="26"/>
      <c r="C195" s="2">
        <v>22</v>
      </c>
      <c r="D195" s="2">
        <v>25</v>
      </c>
      <c r="E195" s="2">
        <v>10</v>
      </c>
      <c r="F195" s="2">
        <f t="shared" si="24"/>
        <v>235</v>
      </c>
    </row>
    <row r="196" spans="1:6" ht="15">
      <c r="A196" s="25" t="s">
        <v>157</v>
      </c>
      <c r="B196" s="26"/>
      <c r="C196" s="2">
        <v>5</v>
      </c>
      <c r="D196" s="2">
        <v>25</v>
      </c>
      <c r="E196" s="2">
        <v>12</v>
      </c>
      <c r="F196" s="2">
        <f t="shared" si="24"/>
        <v>73</v>
      </c>
    </row>
    <row r="197" spans="1:6" ht="15">
      <c r="A197" s="25" t="s">
        <v>158</v>
      </c>
      <c r="B197" s="26"/>
      <c r="C197" s="2">
        <v>6</v>
      </c>
      <c r="D197" s="2">
        <v>25</v>
      </c>
      <c r="E197" s="2">
        <v>10</v>
      </c>
      <c r="F197" s="2">
        <f t="shared" si="24"/>
        <v>75</v>
      </c>
    </row>
    <row r="198" ht="15">
      <c r="C198" s="2">
        <f>SUM(C188:C197)</f>
        <v>146</v>
      </c>
    </row>
    <row r="199" spans="1:10" ht="15">
      <c r="A199" s="29" t="s">
        <v>166</v>
      </c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4:5" ht="15">
      <c r="D200" s="2" t="s">
        <v>160</v>
      </c>
      <c r="E200" s="2">
        <f>E114*E201</f>
        <v>7.38</v>
      </c>
    </row>
    <row r="201" spans="4:5" ht="15">
      <c r="D201" s="2" t="s">
        <v>161</v>
      </c>
      <c r="E201" s="2">
        <v>0.06</v>
      </c>
    </row>
    <row r="202" spans="4:5" ht="15">
      <c r="D202" s="2" t="s">
        <v>162</v>
      </c>
      <c r="E202" s="2">
        <f>ROUNDUP(E200/E203,0)+1</f>
        <v>3</v>
      </c>
    </row>
    <row r="203" spans="4:5" ht="15">
      <c r="D203" s="2" t="s">
        <v>163</v>
      </c>
      <c r="E203" s="2">
        <v>5</v>
      </c>
    </row>
    <row r="204" spans="4:6" ht="15">
      <c r="D204" s="2" t="s">
        <v>164</v>
      </c>
      <c r="E204" s="2">
        <f>E202*E205</f>
        <v>45</v>
      </c>
      <c r="F204" t="s">
        <v>255</v>
      </c>
    </row>
    <row r="205" spans="4:5" ht="15">
      <c r="D205" s="2" t="s">
        <v>165</v>
      </c>
      <c r="E205" s="2">
        <v>15</v>
      </c>
    </row>
    <row r="206" spans="2:6" ht="15">
      <c r="B206" s="29" t="s">
        <v>167</v>
      </c>
      <c r="C206" s="29"/>
      <c r="D206" s="29"/>
      <c r="E206" s="29"/>
      <c r="F206" s="29"/>
    </row>
    <row r="207" spans="4:5" ht="15">
      <c r="D207" s="14" t="s">
        <v>168</v>
      </c>
      <c r="E207" s="2">
        <f>E114*E208</f>
        <v>307.5</v>
      </c>
    </row>
    <row r="208" spans="4:5" ht="15">
      <c r="D208" s="14" t="s">
        <v>169</v>
      </c>
      <c r="E208" s="2">
        <v>2.5</v>
      </c>
    </row>
    <row r="209" spans="4:5" ht="15">
      <c r="D209" s="14" t="s">
        <v>170</v>
      </c>
      <c r="E209" s="2">
        <f>ROUNDUP(E207/250,0)+1</f>
        <v>3</v>
      </c>
    </row>
    <row r="210" spans="4:6" ht="15">
      <c r="D210" s="14" t="s">
        <v>171</v>
      </c>
      <c r="E210" s="2">
        <f>E209*E211</f>
        <v>108</v>
      </c>
      <c r="F210" t="s">
        <v>255</v>
      </c>
    </row>
    <row r="211" spans="4:5" ht="15">
      <c r="D211" s="14" t="s">
        <v>172</v>
      </c>
      <c r="E211" s="2">
        <v>36</v>
      </c>
    </row>
    <row r="213" spans="1:7" ht="15">
      <c r="A213" s="29" t="s">
        <v>173</v>
      </c>
      <c r="B213" s="29"/>
      <c r="C213" s="29"/>
      <c r="D213" s="29"/>
      <c r="E213" s="29"/>
      <c r="F213" s="29"/>
      <c r="G213" s="29"/>
    </row>
    <row r="214" spans="4:6" ht="15">
      <c r="D214" s="2" t="s">
        <v>174</v>
      </c>
      <c r="E214" s="2">
        <f>E114*E215</f>
        <v>24.6</v>
      </c>
      <c r="F214" t="s">
        <v>255</v>
      </c>
    </row>
    <row r="215" spans="4:5" ht="15">
      <c r="D215" s="2" t="s">
        <v>175</v>
      </c>
      <c r="E215" s="2">
        <v>0.2</v>
      </c>
    </row>
    <row r="217" spans="1:7" ht="15">
      <c r="A217" s="30" t="s">
        <v>176</v>
      </c>
      <c r="B217" s="30"/>
      <c r="C217" s="30"/>
      <c r="D217" s="30"/>
      <c r="E217" s="30"/>
      <c r="F217" s="30"/>
      <c r="G217" s="30"/>
    </row>
    <row r="218" spans="4:6" ht="15">
      <c r="D218" s="2" t="s">
        <v>177</v>
      </c>
      <c r="E218" s="2">
        <f>E114*E219</f>
        <v>123</v>
      </c>
      <c r="F218" t="s">
        <v>255</v>
      </c>
    </row>
    <row r="219" spans="4:5" ht="15">
      <c r="D219" s="2" t="s">
        <v>178</v>
      </c>
      <c r="E219" s="2">
        <v>1</v>
      </c>
    </row>
    <row r="220" spans="1:6" ht="15">
      <c r="A220" s="29" t="s">
        <v>179</v>
      </c>
      <c r="B220" s="29"/>
      <c r="C220" s="29"/>
      <c r="D220" s="29"/>
      <c r="E220" s="29"/>
      <c r="F220" s="29"/>
    </row>
    <row r="221" spans="4:6" ht="15">
      <c r="D221" s="2" t="s">
        <v>180</v>
      </c>
      <c r="E221" s="2">
        <f>E222*E223+E224</f>
        <v>185</v>
      </c>
      <c r="F221" t="s">
        <v>255</v>
      </c>
    </row>
    <row r="222" spans="4:5" ht="15">
      <c r="D222" s="2" t="s">
        <v>181</v>
      </c>
      <c r="E222" s="2">
        <v>3</v>
      </c>
    </row>
    <row r="223" spans="4:5" ht="15">
      <c r="D223" s="2" t="s">
        <v>182</v>
      </c>
      <c r="E223" s="2">
        <v>45</v>
      </c>
    </row>
    <row r="224" spans="4:5" ht="15">
      <c r="D224" s="2" t="s">
        <v>183</v>
      </c>
      <c r="E224" s="2">
        <v>50</v>
      </c>
    </row>
    <row r="225" spans="1:6" ht="15">
      <c r="A225" s="29" t="s">
        <v>184</v>
      </c>
      <c r="B225" s="29"/>
      <c r="C225" s="29"/>
      <c r="D225" s="29"/>
      <c r="E225" s="29"/>
      <c r="F225" s="29"/>
    </row>
    <row r="226" spans="4:5" ht="15">
      <c r="D226" s="2" t="s">
        <v>185</v>
      </c>
      <c r="E226" s="2">
        <f>E227*E114*E228</f>
        <v>40974498</v>
      </c>
    </row>
    <row r="227" spans="4:5" ht="15">
      <c r="D227" s="2" t="s">
        <v>186</v>
      </c>
      <c r="E227" s="6">
        <f>E67</f>
        <v>55521</v>
      </c>
    </row>
    <row r="228" spans="4:5" ht="15">
      <c r="D228" s="2" t="s">
        <v>101</v>
      </c>
      <c r="E228" s="2">
        <v>6</v>
      </c>
    </row>
    <row r="229" spans="4:5" ht="15">
      <c r="D229" s="2" t="s">
        <v>188</v>
      </c>
      <c r="E229" s="2">
        <v>85000</v>
      </c>
    </row>
    <row r="230" spans="4:5" ht="15">
      <c r="D230" s="2" t="s">
        <v>187</v>
      </c>
      <c r="E230" s="2">
        <f>ROUNDUP(E226/(12*E229),0)</f>
        <v>41</v>
      </c>
    </row>
    <row r="231" spans="4:5" ht="15">
      <c r="D231" s="2" t="s">
        <v>189</v>
      </c>
      <c r="E231" s="2">
        <f>2*E230</f>
        <v>82</v>
      </c>
    </row>
    <row r="232" spans="4:5" ht="15">
      <c r="D232" s="2" t="s">
        <v>190</v>
      </c>
      <c r="E232" s="2">
        <v>20</v>
      </c>
    </row>
    <row r="233" spans="4:5" ht="15">
      <c r="D233" s="2" t="s">
        <v>191</v>
      </c>
      <c r="E233" s="2">
        <f>ROUNDUP(E231/E232,0)</f>
        <v>5</v>
      </c>
    </row>
    <row r="234" spans="4:5" ht="15">
      <c r="D234" s="2" t="s">
        <v>192</v>
      </c>
      <c r="E234" s="2">
        <f>ROUNDUP(E231/E235,0)</f>
        <v>6</v>
      </c>
    </row>
    <row r="235" spans="4:5" ht="15">
      <c r="D235" s="2" t="s">
        <v>62</v>
      </c>
      <c r="E235" s="2">
        <v>15</v>
      </c>
    </row>
    <row r="236" spans="4:6" ht="15">
      <c r="D236" s="2" t="s">
        <v>177</v>
      </c>
      <c r="E236" s="2">
        <f>E233*E237+E234*E238</f>
        <v>21</v>
      </c>
      <c r="F236" t="s">
        <v>255</v>
      </c>
    </row>
    <row r="237" spans="4:9" ht="15">
      <c r="D237" s="2" t="s">
        <v>193</v>
      </c>
      <c r="E237" s="2">
        <v>3</v>
      </c>
      <c r="I237" s="15"/>
    </row>
    <row r="238" spans="4:5" ht="15">
      <c r="D238" s="2" t="s">
        <v>194</v>
      </c>
      <c r="E238" s="2">
        <v>1</v>
      </c>
    </row>
    <row r="239" spans="1:7" ht="15">
      <c r="A239" s="31" t="s">
        <v>195</v>
      </c>
      <c r="B239" s="31"/>
      <c r="C239" s="31"/>
      <c r="D239" s="31"/>
      <c r="E239" s="31"/>
      <c r="F239" s="31"/>
      <c r="G239" s="31"/>
    </row>
    <row r="240" spans="4:5" ht="15">
      <c r="D240" s="2" t="s">
        <v>196</v>
      </c>
      <c r="E240" s="2">
        <f>E242*E243</f>
        <v>24</v>
      </c>
    </row>
    <row r="241" spans="4:5" ht="15">
      <c r="D241" s="2" t="s">
        <v>199</v>
      </c>
      <c r="E241" s="2">
        <v>8</v>
      </c>
    </row>
    <row r="242" spans="4:5" ht="15">
      <c r="D242" s="2" t="s">
        <v>197</v>
      </c>
      <c r="E242" s="2">
        <v>3</v>
      </c>
    </row>
    <row r="243" spans="4:5" ht="15">
      <c r="D243" s="2" t="s">
        <v>101</v>
      </c>
      <c r="E243" s="2">
        <v>8</v>
      </c>
    </row>
    <row r="244" spans="4:5" ht="15">
      <c r="D244" s="2" t="s">
        <v>198</v>
      </c>
      <c r="E244" s="2">
        <f>E240+0.25*E241</f>
        <v>26</v>
      </c>
    </row>
    <row r="245" spans="4:6" ht="15">
      <c r="D245" s="2" t="s">
        <v>200</v>
      </c>
      <c r="E245" s="2">
        <f>E246*E244</f>
        <v>26</v>
      </c>
      <c r="F245" t="s">
        <v>255</v>
      </c>
    </row>
    <row r="246" spans="4:5" ht="15">
      <c r="D246" s="2" t="s">
        <v>201</v>
      </c>
      <c r="E246" s="2">
        <v>1</v>
      </c>
    </row>
    <row r="247" spans="1:6" ht="15">
      <c r="A247" s="24" t="s">
        <v>202</v>
      </c>
      <c r="B247" s="24"/>
      <c r="C247" s="24"/>
      <c r="D247" s="24"/>
      <c r="E247" s="24"/>
      <c r="F247" s="24"/>
    </row>
    <row r="248" spans="4:6" ht="15">
      <c r="D248" s="2" t="s">
        <v>203</v>
      </c>
      <c r="E248" s="2">
        <f>0.7*E251*E250</f>
        <v>51.099999999999994</v>
      </c>
      <c r="F248" t="s">
        <v>255</v>
      </c>
    </row>
    <row r="249" spans="4:6" ht="15">
      <c r="D249" s="2" t="s">
        <v>204</v>
      </c>
      <c r="E249" s="2">
        <f>0.3*E251*E250</f>
        <v>21.9</v>
      </c>
      <c r="F249" t="s">
        <v>255</v>
      </c>
    </row>
    <row r="250" spans="4:5" ht="15">
      <c r="D250" s="2" t="s">
        <v>205</v>
      </c>
      <c r="E250" s="2">
        <f>SUM(C188:C197)</f>
        <v>146</v>
      </c>
    </row>
    <row r="251" spans="4:5" ht="15">
      <c r="D251" s="2" t="s">
        <v>206</v>
      </c>
      <c r="E251" s="2">
        <v>0.5</v>
      </c>
    </row>
    <row r="252" spans="1:6" ht="15">
      <c r="A252" s="24" t="s">
        <v>207</v>
      </c>
      <c r="B252" s="24"/>
      <c r="C252" s="24"/>
      <c r="D252" s="24"/>
      <c r="E252" s="24"/>
      <c r="F252" s="24"/>
    </row>
    <row r="253" spans="4:6" ht="15">
      <c r="D253" s="2" t="s">
        <v>208</v>
      </c>
      <c r="E253" s="2">
        <f>ROUNDUP((0.7*E255*E250)/7,0)</f>
        <v>66</v>
      </c>
      <c r="F253" t="s">
        <v>255</v>
      </c>
    </row>
    <row r="254" spans="4:6" ht="15">
      <c r="D254" s="2" t="s">
        <v>209</v>
      </c>
      <c r="E254" s="2">
        <f>ROUNDUP((0.3*E255*E250)/7,0)</f>
        <v>29</v>
      </c>
      <c r="F254" t="s">
        <v>255</v>
      </c>
    </row>
    <row r="255" spans="4:5" ht="15">
      <c r="D255" s="2" t="s">
        <v>210</v>
      </c>
      <c r="E255" s="2">
        <v>4.5</v>
      </c>
    </row>
    <row r="256" spans="1:6" ht="15">
      <c r="A256" s="24" t="s">
        <v>211</v>
      </c>
      <c r="B256" s="24"/>
      <c r="C256" s="24"/>
      <c r="D256" s="24"/>
      <c r="E256" s="24"/>
      <c r="F256" s="24"/>
    </row>
    <row r="257" spans="4:5" ht="15">
      <c r="D257" s="2" t="s">
        <v>212</v>
      </c>
      <c r="E257" s="2">
        <f>ROUNDUP((0.7*E259*E250)/10,0)</f>
        <v>26</v>
      </c>
    </row>
    <row r="258" spans="4:5" ht="15">
      <c r="D258" s="2" t="s">
        <v>213</v>
      </c>
      <c r="E258" s="2">
        <f>ROUNDUP((0.3*E259*E250)/10,0)</f>
        <v>11</v>
      </c>
    </row>
    <row r="259" spans="4:5" ht="15">
      <c r="D259" s="2" t="s">
        <v>214</v>
      </c>
      <c r="E259" s="2">
        <v>2.5</v>
      </c>
    </row>
    <row r="260" spans="2:6" ht="15">
      <c r="B260" s="24" t="s">
        <v>215</v>
      </c>
      <c r="C260" s="24"/>
      <c r="D260" s="24"/>
      <c r="E260" s="24"/>
      <c r="F260" s="24"/>
    </row>
    <row r="261" spans="4:6" ht="15">
      <c r="D261" s="2" t="s">
        <v>216</v>
      </c>
      <c r="E261" s="2">
        <f>ROUNDUP((0.7*E263*E250)/18,0)</f>
        <v>26</v>
      </c>
      <c r="F261" t="s">
        <v>255</v>
      </c>
    </row>
    <row r="262" spans="4:6" ht="15">
      <c r="D262" s="2" t="s">
        <v>217</v>
      </c>
      <c r="E262" s="2">
        <f>ROUNDUP((0.3*E263*E250)/12,0)</f>
        <v>17</v>
      </c>
      <c r="F262" t="s">
        <v>255</v>
      </c>
    </row>
    <row r="263" spans="4:5" ht="15">
      <c r="D263" s="2" t="s">
        <v>218</v>
      </c>
      <c r="E263" s="2">
        <v>4.5</v>
      </c>
    </row>
    <row r="264" spans="1:7" ht="15">
      <c r="A264" s="24" t="s">
        <v>219</v>
      </c>
      <c r="B264" s="24"/>
      <c r="C264" s="24"/>
      <c r="D264" s="24"/>
      <c r="E264" s="24"/>
      <c r="F264" s="24"/>
      <c r="G264" s="24"/>
    </row>
    <row r="265" spans="4:6" ht="15">
      <c r="D265" s="2" t="s">
        <v>220</v>
      </c>
      <c r="E265" s="2">
        <f>E266*E250</f>
        <v>36.5</v>
      </c>
      <c r="F265" t="s">
        <v>255</v>
      </c>
    </row>
    <row r="266" spans="4:5" ht="15">
      <c r="D266" s="2" t="s">
        <v>221</v>
      </c>
      <c r="E266" s="2">
        <v>0.25</v>
      </c>
    </row>
    <row r="267" spans="1:6" ht="15">
      <c r="A267" s="24" t="s">
        <v>222</v>
      </c>
      <c r="B267" s="24"/>
      <c r="C267" s="24"/>
      <c r="D267" s="24"/>
      <c r="E267" s="24"/>
      <c r="F267" s="24"/>
    </row>
    <row r="268" spans="4:6" ht="15">
      <c r="D268" s="2" t="s">
        <v>223</v>
      </c>
      <c r="E268" s="2">
        <f>ROUNDUP(E269*E134,0)</f>
        <v>43</v>
      </c>
      <c r="F268" t="s">
        <v>255</v>
      </c>
    </row>
    <row r="269" spans="4:5" ht="15">
      <c r="D269" s="2" t="s">
        <v>224</v>
      </c>
      <c r="E269" s="2">
        <v>0.25</v>
      </c>
    </row>
  </sheetData>
  <sheetProtection/>
  <mergeCells count="122">
    <mergeCell ref="E48:F48"/>
    <mergeCell ref="G48:H48"/>
    <mergeCell ref="I48:J48"/>
    <mergeCell ref="K48:L48"/>
    <mergeCell ref="M48:N48"/>
    <mergeCell ref="L74:L75"/>
    <mergeCell ref="G74:K74"/>
    <mergeCell ref="D47:D48"/>
    <mergeCell ref="E47:F47"/>
    <mergeCell ref="G47:H47"/>
    <mergeCell ref="I47:J47"/>
    <mergeCell ref="K47:L47"/>
    <mergeCell ref="D18:G18"/>
    <mergeCell ref="C3:D3"/>
    <mergeCell ref="T29:W29"/>
    <mergeCell ref="F3:F4"/>
    <mergeCell ref="L14:M14"/>
    <mergeCell ref="P18:S18"/>
    <mergeCell ref="X14:Y14"/>
    <mergeCell ref="V19:W19"/>
    <mergeCell ref="T18:Y18"/>
    <mergeCell ref="T19:U19"/>
    <mergeCell ref="X19:Y19"/>
    <mergeCell ref="P19:Q19"/>
    <mergeCell ref="R19:S19"/>
    <mergeCell ref="T14:U14"/>
    <mergeCell ref="P14:Q14"/>
    <mergeCell ref="X3:AA3"/>
    <mergeCell ref="X4:Y4"/>
    <mergeCell ref="Z4:AA4"/>
    <mergeCell ref="N4:O4"/>
    <mergeCell ref="L3:O3"/>
    <mergeCell ref="V4:W4"/>
    <mergeCell ref="T3:W3"/>
    <mergeCell ref="T4:U4"/>
    <mergeCell ref="P29:Q29"/>
    <mergeCell ref="P4:Q4"/>
    <mergeCell ref="L4:M4"/>
    <mergeCell ref="R4:S4"/>
    <mergeCell ref="P3:S3"/>
    <mergeCell ref="D103:D104"/>
    <mergeCell ref="E103:E104"/>
    <mergeCell ref="F103:F104"/>
    <mergeCell ref="G103:G104"/>
    <mergeCell ref="H103:H104"/>
    <mergeCell ref="I103:I104"/>
    <mergeCell ref="M47:N47"/>
    <mergeCell ref="D97:D98"/>
    <mergeCell ref="E97:F97"/>
    <mergeCell ref="G97:H97"/>
    <mergeCell ref="D74:D75"/>
    <mergeCell ref="E74:E75"/>
    <mergeCell ref="F74:F75"/>
    <mergeCell ref="L19:M19"/>
    <mergeCell ref="G3:G4"/>
    <mergeCell ref="H4:I4"/>
    <mergeCell ref="J4:K4"/>
    <mergeCell ref="D19:E19"/>
    <mergeCell ref="H3:K3"/>
    <mergeCell ref="C14:I14"/>
    <mergeCell ref="O127:P127"/>
    <mergeCell ref="Q127:R127"/>
    <mergeCell ref="C127:D127"/>
    <mergeCell ref="C128:D128"/>
    <mergeCell ref="E127:F127"/>
    <mergeCell ref="G127:H127"/>
    <mergeCell ref="I127:J127"/>
    <mergeCell ref="K127:L127"/>
    <mergeCell ref="M127:N127"/>
    <mergeCell ref="D2:L2"/>
    <mergeCell ref="E30:K30"/>
    <mergeCell ref="E46:J46"/>
    <mergeCell ref="E65:H65"/>
    <mergeCell ref="B206:F206"/>
    <mergeCell ref="A186:B187"/>
    <mergeCell ref="C186:C187"/>
    <mergeCell ref="D186:E186"/>
    <mergeCell ref="F186:F187"/>
    <mergeCell ref="A188:B188"/>
    <mergeCell ref="A189:B189"/>
    <mergeCell ref="A190:B190"/>
    <mergeCell ref="A191:B191"/>
    <mergeCell ref="E3:E4"/>
    <mergeCell ref="C129:C132"/>
    <mergeCell ref="H18:K18"/>
    <mergeCell ref="L18:O18"/>
    <mergeCell ref="F19:G19"/>
    <mergeCell ref="H19:I19"/>
    <mergeCell ref="J19:K19"/>
    <mergeCell ref="N19:O19"/>
    <mergeCell ref="D29:E29"/>
    <mergeCell ref="H29:I29"/>
    <mergeCell ref="L29:M29"/>
    <mergeCell ref="D69:K69"/>
    <mergeCell ref="D73:L73"/>
    <mergeCell ref="D96:H96"/>
    <mergeCell ref="D102:I102"/>
    <mergeCell ref="D109:I109"/>
    <mergeCell ref="D119:H119"/>
    <mergeCell ref="D126:H126"/>
    <mergeCell ref="D138:I138"/>
    <mergeCell ref="A213:G213"/>
    <mergeCell ref="A199:J199"/>
    <mergeCell ref="A256:F256"/>
    <mergeCell ref="B260:F260"/>
    <mergeCell ref="A264:G264"/>
    <mergeCell ref="A267:F267"/>
    <mergeCell ref="A197:B197"/>
    <mergeCell ref="B153:H153"/>
    <mergeCell ref="C172:G172"/>
    <mergeCell ref="B184:G184"/>
    <mergeCell ref="A193:B193"/>
    <mergeCell ref="A192:B192"/>
    <mergeCell ref="A194:B194"/>
    <mergeCell ref="A195:B195"/>
    <mergeCell ref="A196:B196"/>
    <mergeCell ref="A217:G217"/>
    <mergeCell ref="A220:F220"/>
    <mergeCell ref="A225:F225"/>
    <mergeCell ref="A239:G239"/>
    <mergeCell ref="A247:F247"/>
    <mergeCell ref="A252:F2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2012-11-19T14:20:03Z</dcterms:modified>
  <cp:category/>
  <cp:version/>
  <cp:contentType/>
  <cp:contentStatus/>
</cp:coreProperties>
</file>