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<sst xmlns="http://schemas.openxmlformats.org/spreadsheetml/2006/main" count="447" uniqueCount="242">
  <si>
    <t>окончание работы</t>
  </si>
  <si>
    <t>будн</t>
  </si>
  <si>
    <t>вых</t>
  </si>
  <si>
    <t>-</t>
  </si>
  <si>
    <t>Si</t>
  </si>
  <si>
    <t>Vi</t>
  </si>
  <si>
    <t>6:00-9:00</t>
  </si>
  <si>
    <t>9:00-15:00</t>
  </si>
  <si>
    <t>15:00-19:00</t>
  </si>
  <si>
    <t>19:00-22:00</t>
  </si>
  <si>
    <t>чпу ti, мин</t>
  </si>
  <si>
    <t>чпу ni, ед</t>
  </si>
  <si>
    <t>мпу ti, мин</t>
  </si>
  <si>
    <t>мпу ni, ед</t>
  </si>
  <si>
    <t>чпв ti, мин</t>
  </si>
  <si>
    <t>чпв ni, ед</t>
  </si>
  <si>
    <t>мпв ti, мин</t>
  </si>
  <si>
    <t>мпв ni, ед</t>
  </si>
  <si>
    <t>t</t>
  </si>
  <si>
    <t>после 22:00</t>
  </si>
  <si>
    <t>после  22:00</t>
  </si>
  <si>
    <t>Дг ti, мин</t>
  </si>
  <si>
    <t>Дг ni, ед</t>
  </si>
  <si>
    <t>сумма</t>
  </si>
  <si>
    <t>чпу Ti, маш. Ч.</t>
  </si>
  <si>
    <t>6:00-9:00 (3)</t>
  </si>
  <si>
    <t>9:00-15:00 (5)</t>
  </si>
  <si>
    <t>15:00-19:00 (4)</t>
  </si>
  <si>
    <t>19:00-22:00 (3)</t>
  </si>
  <si>
    <t>тау ДГ</t>
  </si>
  <si>
    <t>мпу Ti, маш. Ч.</t>
  </si>
  <si>
    <t>чпв Ti, маш. Ч.</t>
  </si>
  <si>
    <t>мпв Ti, маш. Ч.</t>
  </si>
  <si>
    <t>Дг Ti, маш. Ч.</t>
  </si>
  <si>
    <t>tccр</t>
  </si>
  <si>
    <t>tccв</t>
  </si>
  <si>
    <t>tcc</t>
  </si>
  <si>
    <t>nи</t>
  </si>
  <si>
    <t>Tсг, ч</t>
  </si>
  <si>
    <t>Tо, маш. ч</t>
  </si>
  <si>
    <t>чпу Li, мин</t>
  </si>
  <si>
    <t>мпу Li, мин</t>
  </si>
  <si>
    <t>чпв Li, мин</t>
  </si>
  <si>
    <t>мпв Li, мин</t>
  </si>
  <si>
    <t>Дг Li, мин</t>
  </si>
  <si>
    <t>Lp</t>
  </si>
  <si>
    <t>Lв</t>
  </si>
  <si>
    <t>Lccp</t>
  </si>
  <si>
    <t>np</t>
  </si>
  <si>
    <t>nв</t>
  </si>
  <si>
    <t>Lccв</t>
  </si>
  <si>
    <t>Lcc</t>
  </si>
  <si>
    <t>Др</t>
  </si>
  <si>
    <t>Дв</t>
  </si>
  <si>
    <t>L0</t>
  </si>
  <si>
    <t>Lcг</t>
  </si>
  <si>
    <t>пробег</t>
  </si>
  <si>
    <t>Qб</t>
  </si>
  <si>
    <t>Вид ремонта</t>
  </si>
  <si>
    <t>Q</t>
  </si>
  <si>
    <t>корректирующий коэффициент</t>
  </si>
  <si>
    <t>к1</t>
  </si>
  <si>
    <t>к2</t>
  </si>
  <si>
    <t>к3</t>
  </si>
  <si>
    <t>к4</t>
  </si>
  <si>
    <t>к5</t>
  </si>
  <si>
    <t>ТО-1</t>
  </si>
  <si>
    <t>ТО-2</t>
  </si>
  <si>
    <t>ТО-2(СО)</t>
  </si>
  <si>
    <t>ТР</t>
  </si>
  <si>
    <t>Вид рем. и осл.</t>
  </si>
  <si>
    <t>Количество</t>
  </si>
  <si>
    <t>1 трол.</t>
  </si>
  <si>
    <t>всего</t>
  </si>
  <si>
    <t>трудоемкость</t>
  </si>
  <si>
    <t>Tp</t>
  </si>
  <si>
    <t>Tв</t>
  </si>
  <si>
    <t>ni</t>
  </si>
  <si>
    <t>Норматив. прод. Рем</t>
  </si>
  <si>
    <t>время затрач, на рем.</t>
  </si>
  <si>
    <t>время нах. Рем.</t>
  </si>
  <si>
    <t>время кт, ПС не раб.</t>
  </si>
  <si>
    <t>niф то-2</t>
  </si>
  <si>
    <t>niф то-1</t>
  </si>
  <si>
    <t>niф тр</t>
  </si>
  <si>
    <t>niф то-2 мах</t>
  </si>
  <si>
    <t>niф то-2 мin</t>
  </si>
  <si>
    <t>Дмин</t>
  </si>
  <si>
    <t>Дмах</t>
  </si>
  <si>
    <t>niф то-1 мах</t>
  </si>
  <si>
    <t>niф то-1 мin</t>
  </si>
  <si>
    <t>niф тр мах</t>
  </si>
  <si>
    <t>niф тр мin</t>
  </si>
  <si>
    <t>nф</t>
  </si>
  <si>
    <t>nео</t>
  </si>
  <si>
    <r>
      <t xml:space="preserve">   α</t>
    </r>
    <r>
      <rPr>
        <sz val="11"/>
        <color indexed="8"/>
        <rFont val="Calibri"/>
        <family val="2"/>
      </rPr>
      <t>вр</t>
    </r>
  </si>
  <si>
    <t xml:space="preserve">  αврг</t>
  </si>
  <si>
    <t>Tео</t>
  </si>
  <si>
    <t>Tε   ео</t>
  </si>
  <si>
    <t>nε</t>
  </si>
  <si>
    <t>tсм</t>
  </si>
  <si>
    <t>nбр</t>
  </si>
  <si>
    <t>n</t>
  </si>
  <si>
    <t>сутки</t>
  </si>
  <si>
    <t>время смены</t>
  </si>
  <si>
    <t>8.00</t>
  </si>
  <si>
    <t>19.00</t>
  </si>
  <si>
    <t>Бригады nбр</t>
  </si>
  <si>
    <t>ЕО</t>
  </si>
  <si>
    <t>ЗР</t>
  </si>
  <si>
    <t>EO</t>
  </si>
  <si>
    <t>Чвя</t>
  </si>
  <si>
    <t>чел</t>
  </si>
  <si>
    <t>Чвс</t>
  </si>
  <si>
    <t>Кн</t>
  </si>
  <si>
    <t>Кнб</t>
  </si>
  <si>
    <t>5.2 Численность рабочих занятых ремонтом и обслуживанием ПС</t>
  </si>
  <si>
    <t>Чнс</t>
  </si>
  <si>
    <t>Чртр</t>
  </si>
  <si>
    <t>Чрто-2</t>
  </si>
  <si>
    <t>Чрто-1</t>
  </si>
  <si>
    <t>Фр</t>
  </si>
  <si>
    <t>ч</t>
  </si>
  <si>
    <t>tp</t>
  </si>
  <si>
    <t>tп</t>
  </si>
  <si>
    <t>Дп</t>
  </si>
  <si>
    <t>ЧрЕО</t>
  </si>
  <si>
    <t>nεбр</t>
  </si>
  <si>
    <t>ед</t>
  </si>
  <si>
    <t>Чрвсп</t>
  </si>
  <si>
    <t>квсп</t>
  </si>
  <si>
    <t>6. Расчет площади производственных помещений</t>
  </si>
  <si>
    <t>nтрЕО</t>
  </si>
  <si>
    <t>трол.</t>
  </si>
  <si>
    <t>nД</t>
  </si>
  <si>
    <t>nЕО</t>
  </si>
  <si>
    <t>мест</t>
  </si>
  <si>
    <t>nнр</t>
  </si>
  <si>
    <t>pнр</t>
  </si>
  <si>
    <t>tнр</t>
  </si>
  <si>
    <t>tc</t>
  </si>
  <si>
    <t>nнрф</t>
  </si>
  <si>
    <t>Lму</t>
  </si>
  <si>
    <t>м</t>
  </si>
  <si>
    <t>L1</t>
  </si>
  <si>
    <t>L2</t>
  </si>
  <si>
    <t>L3</t>
  </si>
  <si>
    <t>Lпс</t>
  </si>
  <si>
    <t>Lмт</t>
  </si>
  <si>
    <t>Ап</t>
  </si>
  <si>
    <t>6.2 Расчет кузовного и малярного отделения</t>
  </si>
  <si>
    <t>nтрм</t>
  </si>
  <si>
    <t>места</t>
  </si>
  <si>
    <t>Тм</t>
  </si>
  <si>
    <t>тау тр</t>
  </si>
  <si>
    <t>nтр</t>
  </si>
  <si>
    <t>nтрк</t>
  </si>
  <si>
    <t>Чр</t>
  </si>
  <si>
    <t>6.3 Расчет площади производственных мастерских</t>
  </si>
  <si>
    <t>наименование уч. Или отделения</t>
  </si>
  <si>
    <t>Ая</t>
  </si>
  <si>
    <t>Удельная площадь</t>
  </si>
  <si>
    <t>Fп</t>
  </si>
  <si>
    <t>f1</t>
  </si>
  <si>
    <t>f0</t>
  </si>
  <si>
    <t>агрегатное</t>
  </si>
  <si>
    <t>электротехническое</t>
  </si>
  <si>
    <t>кузнечно-рессорное</t>
  </si>
  <si>
    <t>сварочное</t>
  </si>
  <si>
    <t>столярное</t>
  </si>
  <si>
    <t>обойное</t>
  </si>
  <si>
    <t>слесарно- кузовное</t>
  </si>
  <si>
    <t>слесарно- механическое</t>
  </si>
  <si>
    <t>аккумуляторное</t>
  </si>
  <si>
    <t>шиномонтажное</t>
  </si>
  <si>
    <t xml:space="preserve">7.1 Площадь помещений трансформаторной подстанции </t>
  </si>
  <si>
    <t>Vk</t>
  </si>
  <si>
    <t>vk</t>
  </si>
  <si>
    <t>nкомп</t>
  </si>
  <si>
    <t>v</t>
  </si>
  <si>
    <t>Fk</t>
  </si>
  <si>
    <t>м^2</t>
  </si>
  <si>
    <t>fk</t>
  </si>
  <si>
    <t>7.2 площадь трансформаторной подстанции</t>
  </si>
  <si>
    <t>Pст</t>
  </si>
  <si>
    <t>р</t>
  </si>
  <si>
    <t>nст</t>
  </si>
  <si>
    <t>Fт</t>
  </si>
  <si>
    <t>fт</t>
  </si>
  <si>
    <t>7.3 площадь маслораздаточной</t>
  </si>
  <si>
    <t>Fм</t>
  </si>
  <si>
    <t>fм</t>
  </si>
  <si>
    <t>7.4 площадь главной кладовой</t>
  </si>
  <si>
    <t>Fкл</t>
  </si>
  <si>
    <t>fкл</t>
  </si>
  <si>
    <t>7.5 площадь закрытой стоянки для автотранспорта</t>
  </si>
  <si>
    <t>Fст</t>
  </si>
  <si>
    <t>nавт</t>
  </si>
  <si>
    <t>fавт</t>
  </si>
  <si>
    <t>fмаст</t>
  </si>
  <si>
    <t>7.7 площадь кладовой резины</t>
  </si>
  <si>
    <t>L</t>
  </si>
  <si>
    <t>Lсг</t>
  </si>
  <si>
    <t>lп</t>
  </si>
  <si>
    <t>n3</t>
  </si>
  <si>
    <t>nоз</t>
  </si>
  <si>
    <t>k1</t>
  </si>
  <si>
    <t>nозп</t>
  </si>
  <si>
    <t>nозк</t>
  </si>
  <si>
    <t>fп</t>
  </si>
  <si>
    <t>fк</t>
  </si>
  <si>
    <t>8.1 гардероб</t>
  </si>
  <si>
    <t>A1</t>
  </si>
  <si>
    <t>Ас</t>
  </si>
  <si>
    <t>nбрмах</t>
  </si>
  <si>
    <t>Aгв</t>
  </si>
  <si>
    <t>Sгв</t>
  </si>
  <si>
    <t>fгв</t>
  </si>
  <si>
    <t>8.2 гардеробная для индивил. хран. одежды</t>
  </si>
  <si>
    <t>Spм</t>
  </si>
  <si>
    <t>Sрж</t>
  </si>
  <si>
    <t>Аг</t>
  </si>
  <si>
    <t>fг</t>
  </si>
  <si>
    <t xml:space="preserve">8.3 душевые </t>
  </si>
  <si>
    <t>Sдм</t>
  </si>
  <si>
    <t>Sдж</t>
  </si>
  <si>
    <t>fд</t>
  </si>
  <si>
    <t>8.4 умывальные</t>
  </si>
  <si>
    <t>Sум</t>
  </si>
  <si>
    <t>Sуж</t>
  </si>
  <si>
    <t>fу</t>
  </si>
  <si>
    <t>8.5 уборная</t>
  </si>
  <si>
    <t>Sубм</t>
  </si>
  <si>
    <t>Sубж</t>
  </si>
  <si>
    <t>fуб</t>
  </si>
  <si>
    <t>8.6 зал для собраний</t>
  </si>
  <si>
    <t>S3</t>
  </si>
  <si>
    <t>f3</t>
  </si>
  <si>
    <t>8.7 помешен. для вод. ожид. наряда</t>
  </si>
  <si>
    <t>Su</t>
  </si>
  <si>
    <t xml:space="preserve"> </t>
  </si>
  <si>
    <t>fu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</si>
</sst>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h:mm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 horizontal="center"/>
    </xf>
    <xf numFmtId="2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/>
    </xf>
    <xf numFmtId="1" fontId="0" fillId="32" borderId="10" xfId="0" applyNumberFormat="1" applyFill="1" applyBorder="1" applyAlignment="1">
      <alignment/>
    </xf>
    <xf numFmtId="2" fontId="0" fillId="32" borderId="11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12" xfId="0" applyBorder="1" applyAlignment="1">
      <alignment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>
      <alignment/>
    </xf>
    <xf numFmtId="1" fontId="0" fillId="0" borderId="10" xfId="0" applyNumberFormat="1" applyBorder="1" applyAlignment="1">
      <alignment vertical="center"/>
    </xf>
    <xf numFmtId="0" fontId="2" fillId="35" borderId="13" xfId="0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166" fontId="0" fillId="0" borderId="10" xfId="0" applyNumberFormat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0" fillId="0" borderId="14" xfId="0" applyBorder="1" applyAlignment="1">
      <alignment/>
    </xf>
    <xf numFmtId="0" fontId="0" fillId="36" borderId="13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0" xfId="0" applyFill="1" applyBorder="1" applyAlignment="1">
      <alignment/>
    </xf>
    <xf numFmtId="16" fontId="0" fillId="0" borderId="0" xfId="0" applyNumberFormat="1" applyAlignment="1">
      <alignment/>
    </xf>
    <xf numFmtId="165" fontId="0" fillId="35" borderId="13" xfId="0" applyNumberFormat="1" applyFill="1" applyBorder="1" applyAlignment="1">
      <alignment horizontal="center" vertical="center" wrapText="1"/>
    </xf>
    <xf numFmtId="165" fontId="0" fillId="35" borderId="11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3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20" fontId="0" fillId="32" borderId="10" xfId="0" applyNumberFormat="1" applyFill="1" applyBorder="1" applyAlignment="1">
      <alignment horizontal="center"/>
    </xf>
    <xf numFmtId="0" fontId="0" fillId="32" borderId="13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7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AA263"/>
  <sheetViews>
    <sheetView tabSelected="1" zoomScale="85" zoomScaleNormal="85" zoomScalePageLayoutView="0" workbookViewId="0" topLeftCell="B88">
      <selection activeCell="E50" sqref="E50"/>
    </sheetView>
  </sheetViews>
  <sheetFormatPr defaultColWidth="9.140625" defaultRowHeight="15"/>
  <cols>
    <col min="3" max="3" width="12.8515625" style="0" customWidth="1"/>
    <col min="4" max="4" width="17.8515625" style="0" customWidth="1"/>
    <col min="5" max="5" width="10.421875" style="0" customWidth="1"/>
    <col min="6" max="6" width="14.00390625" style="0" customWidth="1"/>
    <col min="7" max="7" width="13.57421875" style="0" customWidth="1"/>
    <col min="8" max="8" width="11.8515625" style="0" customWidth="1"/>
    <col min="9" max="9" width="10.421875" style="0" customWidth="1"/>
    <col min="10" max="10" width="11.140625" style="0" customWidth="1"/>
  </cols>
  <sheetData>
    <row r="3" spans="3:27" ht="12" customHeight="1">
      <c r="C3" s="48" t="s">
        <v>0</v>
      </c>
      <c r="D3" s="48"/>
      <c r="E3" s="43" t="s">
        <v>4</v>
      </c>
      <c r="F3" s="43" t="s">
        <v>5</v>
      </c>
      <c r="G3" s="43" t="s">
        <v>18</v>
      </c>
      <c r="H3" s="39" t="s">
        <v>6</v>
      </c>
      <c r="I3" s="39"/>
      <c r="J3" s="39"/>
      <c r="K3" s="39"/>
      <c r="L3" s="39" t="s">
        <v>7</v>
      </c>
      <c r="M3" s="39"/>
      <c r="N3" s="39"/>
      <c r="O3" s="39"/>
      <c r="P3" s="39" t="s">
        <v>8</v>
      </c>
      <c r="Q3" s="39"/>
      <c r="R3" s="39"/>
      <c r="S3" s="39"/>
      <c r="T3" s="39" t="s">
        <v>9</v>
      </c>
      <c r="U3" s="39"/>
      <c r="V3" s="39"/>
      <c r="W3" s="39"/>
      <c r="X3" s="39" t="s">
        <v>20</v>
      </c>
      <c r="Y3" s="39"/>
      <c r="Z3" s="39"/>
      <c r="AA3" s="39"/>
    </row>
    <row r="4" spans="3:27" ht="30" customHeight="1">
      <c r="C4" s="15" t="s">
        <v>1</v>
      </c>
      <c r="D4" s="16" t="s">
        <v>2</v>
      </c>
      <c r="E4" s="43"/>
      <c r="F4" s="43"/>
      <c r="G4" s="43"/>
      <c r="H4" s="37" t="s">
        <v>10</v>
      </c>
      <c r="I4" s="37"/>
      <c r="J4" s="34" t="s">
        <v>11</v>
      </c>
      <c r="K4" s="34"/>
      <c r="L4" s="37" t="s">
        <v>12</v>
      </c>
      <c r="M4" s="37"/>
      <c r="N4" s="34" t="s">
        <v>13</v>
      </c>
      <c r="O4" s="34"/>
      <c r="P4" s="37" t="s">
        <v>14</v>
      </c>
      <c r="Q4" s="37"/>
      <c r="R4" s="34" t="s">
        <v>15</v>
      </c>
      <c r="S4" s="34"/>
      <c r="T4" s="37" t="s">
        <v>16</v>
      </c>
      <c r="U4" s="37"/>
      <c r="V4" s="34" t="s">
        <v>17</v>
      </c>
      <c r="W4" s="34"/>
      <c r="X4" s="37" t="s">
        <v>21</v>
      </c>
      <c r="Y4" s="37"/>
      <c r="Z4" s="34" t="s">
        <v>22</v>
      </c>
      <c r="AA4" s="34"/>
    </row>
    <row r="5" spans="3:27" ht="15">
      <c r="C5" s="25">
        <v>0.79375</v>
      </c>
      <c r="D5" s="25" t="s">
        <v>3</v>
      </c>
      <c r="E5" s="6">
        <v>24.8</v>
      </c>
      <c r="F5" s="6">
        <f>(E5/G5)*60</f>
        <v>18.835443037974684</v>
      </c>
      <c r="G5" s="6">
        <v>79</v>
      </c>
      <c r="H5" s="21">
        <v>16</v>
      </c>
      <c r="I5" s="21">
        <v>0</v>
      </c>
      <c r="J5" s="3">
        <f>G5/H5</f>
        <v>4.9375</v>
      </c>
      <c r="K5" s="3" t="s">
        <v>3</v>
      </c>
      <c r="L5" s="4">
        <v>0</v>
      </c>
      <c r="M5" s="4">
        <v>0</v>
      </c>
      <c r="N5" s="4" t="s">
        <v>3</v>
      </c>
      <c r="O5" s="4" t="s">
        <v>3</v>
      </c>
      <c r="P5" s="4">
        <v>20</v>
      </c>
      <c r="Q5" s="4">
        <v>0</v>
      </c>
      <c r="R5" s="3">
        <f>G5/P5</f>
        <v>3.95</v>
      </c>
      <c r="S5" s="3" t="s">
        <v>3</v>
      </c>
      <c r="T5" s="4">
        <v>0</v>
      </c>
      <c r="U5" s="4">
        <v>0</v>
      </c>
      <c r="V5" s="3" t="s">
        <v>3</v>
      </c>
      <c r="W5" s="3" t="s">
        <v>3</v>
      </c>
      <c r="X5" s="4">
        <v>0</v>
      </c>
      <c r="Y5" s="4">
        <v>0</v>
      </c>
      <c r="Z5" s="4" t="s">
        <v>3</v>
      </c>
      <c r="AA5" s="4" t="s">
        <v>3</v>
      </c>
    </row>
    <row r="6" spans="3:27" ht="15">
      <c r="C6" s="25">
        <v>0.07361111111111111</v>
      </c>
      <c r="D6" s="25">
        <v>0.07430555555555556</v>
      </c>
      <c r="E6" s="6">
        <v>31.4</v>
      </c>
      <c r="F6" s="6">
        <f aca="true" t="shared" si="0" ref="F6:F13">(E6/G6)*60</f>
        <v>17.284403669724767</v>
      </c>
      <c r="G6" s="6">
        <v>109</v>
      </c>
      <c r="H6" s="21">
        <v>4</v>
      </c>
      <c r="I6" s="21">
        <v>4</v>
      </c>
      <c r="J6" s="3">
        <f aca="true" t="shared" si="1" ref="J6:J13">G6/H6</f>
        <v>27.25</v>
      </c>
      <c r="K6" s="3">
        <f aca="true" t="shared" si="2" ref="K6:K13">G6/I6</f>
        <v>27.25</v>
      </c>
      <c r="L6" s="4">
        <v>6</v>
      </c>
      <c r="M6" s="4">
        <v>4</v>
      </c>
      <c r="N6" s="4">
        <f aca="true" t="shared" si="3" ref="N6:N13">G6/L6</f>
        <v>18.166666666666668</v>
      </c>
      <c r="O6" s="4">
        <f aca="true" t="shared" si="4" ref="O6:O13">G6/M6</f>
        <v>27.25</v>
      </c>
      <c r="P6" s="4">
        <v>4</v>
      </c>
      <c r="Q6" s="4">
        <v>4</v>
      </c>
      <c r="R6" s="3">
        <f aca="true" t="shared" si="5" ref="R6:R13">G6/P6</f>
        <v>27.25</v>
      </c>
      <c r="S6" s="3">
        <f aca="true" t="shared" si="6" ref="S6:S13">G6/Q6</f>
        <v>27.25</v>
      </c>
      <c r="T6" s="4">
        <v>14</v>
      </c>
      <c r="U6" s="4">
        <v>8</v>
      </c>
      <c r="V6" s="3">
        <f aca="true" t="shared" si="7" ref="V6:V13">G6/T6</f>
        <v>7.785714285714286</v>
      </c>
      <c r="W6" s="3">
        <f aca="true" t="shared" si="8" ref="W6:W13">G6/U6</f>
        <v>13.625</v>
      </c>
      <c r="X6" s="4">
        <v>22</v>
      </c>
      <c r="Y6" s="4">
        <v>22</v>
      </c>
      <c r="Z6" s="4">
        <f aca="true" t="shared" si="9" ref="Z6:Z13">G6/X6</f>
        <v>4.954545454545454</v>
      </c>
      <c r="AA6" s="4">
        <f aca="true" t="shared" si="10" ref="AA6:AA13">G6/Y6</f>
        <v>4.954545454545454</v>
      </c>
    </row>
    <row r="7" spans="3:27" ht="15">
      <c r="C7" s="25">
        <v>0.024305555555555556</v>
      </c>
      <c r="D7" s="25">
        <v>0.024305555555555556</v>
      </c>
      <c r="E7" s="6">
        <v>21.7</v>
      </c>
      <c r="F7" s="6">
        <f t="shared" si="0"/>
        <v>19.432835820895523</v>
      </c>
      <c r="G7" s="6">
        <v>67</v>
      </c>
      <c r="H7" s="21">
        <v>5</v>
      </c>
      <c r="I7" s="21">
        <v>13</v>
      </c>
      <c r="J7" s="3">
        <f t="shared" si="1"/>
        <v>13.4</v>
      </c>
      <c r="K7" s="3">
        <f t="shared" si="2"/>
        <v>5.153846153846154</v>
      </c>
      <c r="L7" s="4">
        <v>13</v>
      </c>
      <c r="M7" s="4">
        <v>13</v>
      </c>
      <c r="N7" s="4">
        <f t="shared" si="3"/>
        <v>5.153846153846154</v>
      </c>
      <c r="O7" s="4">
        <f t="shared" si="4"/>
        <v>5.153846153846154</v>
      </c>
      <c r="P7" s="4">
        <v>5</v>
      </c>
      <c r="Q7" s="4">
        <v>13</v>
      </c>
      <c r="R7" s="3">
        <f t="shared" si="5"/>
        <v>13.4</v>
      </c>
      <c r="S7" s="3">
        <f t="shared" si="6"/>
        <v>5.153846153846154</v>
      </c>
      <c r="T7" s="4">
        <v>13</v>
      </c>
      <c r="U7" s="4">
        <v>13</v>
      </c>
      <c r="V7" s="3">
        <f t="shared" si="7"/>
        <v>5.153846153846154</v>
      </c>
      <c r="W7" s="3">
        <f t="shared" si="8"/>
        <v>5.153846153846154</v>
      </c>
      <c r="X7" s="4">
        <v>13</v>
      </c>
      <c r="Y7" s="4">
        <v>13</v>
      </c>
      <c r="Z7" s="4">
        <f t="shared" si="9"/>
        <v>5.153846153846154</v>
      </c>
      <c r="AA7" s="4">
        <f t="shared" si="10"/>
        <v>5.153846153846154</v>
      </c>
    </row>
    <row r="8" spans="3:27" ht="15">
      <c r="C8" s="25">
        <v>0.06319444444444444</v>
      </c>
      <c r="D8" s="25">
        <v>0.0763888888888889</v>
      </c>
      <c r="E8" s="6">
        <v>30.9</v>
      </c>
      <c r="F8" s="6">
        <f t="shared" si="0"/>
        <v>16.4070796460177</v>
      </c>
      <c r="G8" s="6">
        <v>113</v>
      </c>
      <c r="H8" s="21">
        <v>6</v>
      </c>
      <c r="I8" s="21">
        <v>8</v>
      </c>
      <c r="J8" s="3">
        <f t="shared" si="1"/>
        <v>18.833333333333332</v>
      </c>
      <c r="K8" s="3">
        <f t="shared" si="2"/>
        <v>14.125</v>
      </c>
      <c r="L8" s="4">
        <v>8</v>
      </c>
      <c r="M8" s="4">
        <v>8</v>
      </c>
      <c r="N8" s="4">
        <f t="shared" si="3"/>
        <v>14.125</v>
      </c>
      <c r="O8" s="4">
        <f t="shared" si="4"/>
        <v>14.125</v>
      </c>
      <c r="P8" s="4">
        <v>6</v>
      </c>
      <c r="Q8" s="4">
        <v>8</v>
      </c>
      <c r="R8" s="3">
        <f t="shared" si="5"/>
        <v>18.833333333333332</v>
      </c>
      <c r="S8" s="3">
        <f t="shared" si="6"/>
        <v>14.125</v>
      </c>
      <c r="T8" s="4">
        <v>23</v>
      </c>
      <c r="U8" s="4">
        <v>16</v>
      </c>
      <c r="V8" s="3">
        <f t="shared" si="7"/>
        <v>4.913043478260869</v>
      </c>
      <c r="W8" s="3">
        <f t="shared" si="8"/>
        <v>7.0625</v>
      </c>
      <c r="X8" s="4">
        <v>23</v>
      </c>
      <c r="Y8" s="4">
        <v>23</v>
      </c>
      <c r="Z8" s="4">
        <f t="shared" si="9"/>
        <v>4.913043478260869</v>
      </c>
      <c r="AA8" s="4">
        <f t="shared" si="10"/>
        <v>4.913043478260869</v>
      </c>
    </row>
    <row r="9" spans="3:27" ht="15" customHeight="1">
      <c r="C9" s="25">
        <v>0.06388888888888888</v>
      </c>
      <c r="D9" s="25">
        <v>0.06458333333333334</v>
      </c>
      <c r="E9" s="6">
        <v>33.1</v>
      </c>
      <c r="F9" s="6">
        <f t="shared" si="0"/>
        <v>18.220183486238533</v>
      </c>
      <c r="G9" s="6">
        <v>109</v>
      </c>
      <c r="H9" s="21">
        <v>5</v>
      </c>
      <c r="I9" s="21">
        <v>7</v>
      </c>
      <c r="J9" s="3">
        <f t="shared" si="1"/>
        <v>21.8</v>
      </c>
      <c r="K9" s="3">
        <f t="shared" si="2"/>
        <v>15.571428571428571</v>
      </c>
      <c r="L9" s="4">
        <v>10</v>
      </c>
      <c r="M9" s="4">
        <v>7</v>
      </c>
      <c r="N9" s="4">
        <f t="shared" si="3"/>
        <v>10.9</v>
      </c>
      <c r="O9" s="4">
        <f t="shared" si="4"/>
        <v>15.571428571428571</v>
      </c>
      <c r="P9" s="4">
        <v>5</v>
      </c>
      <c r="Q9" s="4">
        <v>7</v>
      </c>
      <c r="R9" s="3">
        <f t="shared" si="5"/>
        <v>21.8</v>
      </c>
      <c r="S9" s="3">
        <f t="shared" si="6"/>
        <v>15.571428571428571</v>
      </c>
      <c r="T9" s="4">
        <v>14</v>
      </c>
      <c r="U9" s="4">
        <v>14</v>
      </c>
      <c r="V9" s="3">
        <f t="shared" si="7"/>
        <v>7.785714285714286</v>
      </c>
      <c r="W9" s="3">
        <f t="shared" si="8"/>
        <v>7.785714285714286</v>
      </c>
      <c r="X9" s="4">
        <v>18</v>
      </c>
      <c r="Y9" s="4">
        <v>18</v>
      </c>
      <c r="Z9" s="4">
        <f t="shared" si="9"/>
        <v>6.055555555555555</v>
      </c>
      <c r="AA9" s="4">
        <f t="shared" si="10"/>
        <v>6.055555555555555</v>
      </c>
    </row>
    <row r="10" spans="3:27" ht="15">
      <c r="C10" s="25">
        <v>0.8173611111111111</v>
      </c>
      <c r="D10" s="25" t="s">
        <v>3</v>
      </c>
      <c r="E10" s="6">
        <v>24.3</v>
      </c>
      <c r="F10" s="6">
        <f t="shared" si="0"/>
        <v>18.692307692307693</v>
      </c>
      <c r="G10" s="6">
        <v>78</v>
      </c>
      <c r="H10" s="21">
        <v>16</v>
      </c>
      <c r="I10" s="21">
        <v>0</v>
      </c>
      <c r="J10" s="3">
        <f t="shared" si="1"/>
        <v>4.875</v>
      </c>
      <c r="K10" s="3" t="s">
        <v>3</v>
      </c>
      <c r="L10" s="4">
        <v>0</v>
      </c>
      <c r="M10" s="4">
        <v>0</v>
      </c>
      <c r="N10" s="4" t="s">
        <v>3</v>
      </c>
      <c r="O10" s="4" t="s">
        <v>3</v>
      </c>
      <c r="P10" s="4">
        <v>16</v>
      </c>
      <c r="Q10" s="4">
        <v>0</v>
      </c>
      <c r="R10" s="3">
        <f t="shared" si="5"/>
        <v>4.875</v>
      </c>
      <c r="S10" s="3" t="s">
        <v>3</v>
      </c>
      <c r="T10" s="4">
        <v>0</v>
      </c>
      <c r="U10" s="4">
        <v>0</v>
      </c>
      <c r="V10" s="3" t="s">
        <v>3</v>
      </c>
      <c r="W10" s="3" t="s">
        <v>3</v>
      </c>
      <c r="X10" s="4">
        <v>0</v>
      </c>
      <c r="Y10" s="4">
        <v>0</v>
      </c>
      <c r="Z10" s="4" t="s">
        <v>3</v>
      </c>
      <c r="AA10" s="4" t="s">
        <v>3</v>
      </c>
    </row>
    <row r="11" spans="3:27" ht="15">
      <c r="C11" s="25">
        <v>0.7881944444444445</v>
      </c>
      <c r="D11" s="25" t="s">
        <v>3</v>
      </c>
      <c r="E11" s="6">
        <v>30.5</v>
      </c>
      <c r="F11" s="6">
        <f t="shared" si="0"/>
        <v>17.941176470588236</v>
      </c>
      <c r="G11" s="6">
        <v>102</v>
      </c>
      <c r="H11" s="21">
        <v>26</v>
      </c>
      <c r="I11" s="21">
        <v>0</v>
      </c>
      <c r="J11" s="3">
        <f t="shared" si="1"/>
        <v>3.923076923076923</v>
      </c>
      <c r="K11" s="3" t="s">
        <v>3</v>
      </c>
      <c r="L11" s="4">
        <v>0</v>
      </c>
      <c r="M11" s="4">
        <v>0</v>
      </c>
      <c r="N11" s="4" t="s">
        <v>3</v>
      </c>
      <c r="O11" s="4" t="s">
        <v>3</v>
      </c>
      <c r="P11" s="4">
        <v>26</v>
      </c>
      <c r="Q11" s="4">
        <v>0</v>
      </c>
      <c r="R11" s="3">
        <f t="shared" si="5"/>
        <v>3.923076923076923</v>
      </c>
      <c r="S11" s="3" t="s">
        <v>3</v>
      </c>
      <c r="T11" s="4">
        <v>0</v>
      </c>
      <c r="U11" s="4">
        <v>0</v>
      </c>
      <c r="V11" s="3" t="s">
        <v>3</v>
      </c>
      <c r="W11" s="3" t="s">
        <v>3</v>
      </c>
      <c r="X11" s="4">
        <v>0</v>
      </c>
      <c r="Y11" s="4">
        <v>0</v>
      </c>
      <c r="Z11" s="4" t="s">
        <v>3</v>
      </c>
      <c r="AA11" s="4" t="s">
        <v>3</v>
      </c>
    </row>
    <row r="12" spans="3:27" ht="15">
      <c r="C12" s="25">
        <v>0.8263888888888888</v>
      </c>
      <c r="D12" s="25">
        <v>0.6875</v>
      </c>
      <c r="E12" s="6">
        <v>25.5</v>
      </c>
      <c r="F12" s="6">
        <f t="shared" si="0"/>
        <v>17.386363636363637</v>
      </c>
      <c r="G12" s="6">
        <v>88</v>
      </c>
      <c r="H12" s="21">
        <v>29</v>
      </c>
      <c r="I12" s="21">
        <v>44</v>
      </c>
      <c r="J12" s="3">
        <f t="shared" si="1"/>
        <v>3.0344827586206895</v>
      </c>
      <c r="K12" s="3">
        <f t="shared" si="2"/>
        <v>2</v>
      </c>
      <c r="L12" s="4">
        <v>29</v>
      </c>
      <c r="M12" s="4">
        <v>44</v>
      </c>
      <c r="N12" s="4">
        <f t="shared" si="3"/>
        <v>3.0344827586206895</v>
      </c>
      <c r="O12" s="4">
        <f t="shared" si="4"/>
        <v>2</v>
      </c>
      <c r="P12" s="4">
        <v>29</v>
      </c>
      <c r="Q12" s="4">
        <v>44</v>
      </c>
      <c r="R12" s="3">
        <f t="shared" si="5"/>
        <v>3.0344827586206895</v>
      </c>
      <c r="S12" s="3">
        <f t="shared" si="6"/>
        <v>2</v>
      </c>
      <c r="T12" s="4">
        <v>29</v>
      </c>
      <c r="U12" s="4">
        <v>88</v>
      </c>
      <c r="V12" s="3">
        <f t="shared" si="7"/>
        <v>3.0344827586206895</v>
      </c>
      <c r="W12" s="3">
        <f t="shared" si="8"/>
        <v>1</v>
      </c>
      <c r="X12" s="4">
        <v>0</v>
      </c>
      <c r="Y12" s="4">
        <v>0</v>
      </c>
      <c r="Z12" s="4" t="s">
        <v>3</v>
      </c>
      <c r="AA12" s="4" t="s">
        <v>3</v>
      </c>
    </row>
    <row r="13" spans="3:27" ht="15">
      <c r="C13" s="25">
        <v>0.9375</v>
      </c>
      <c r="D13" s="25">
        <v>0.9125</v>
      </c>
      <c r="E13" s="6">
        <v>19.1</v>
      </c>
      <c r="F13" s="6">
        <f t="shared" si="0"/>
        <v>17.104477611940297</v>
      </c>
      <c r="G13" s="6">
        <v>67</v>
      </c>
      <c r="H13" s="21">
        <v>22</v>
      </c>
      <c r="I13" s="21">
        <v>17</v>
      </c>
      <c r="J13" s="3">
        <f t="shared" si="1"/>
        <v>3.0454545454545454</v>
      </c>
      <c r="K13" s="3">
        <f t="shared" si="2"/>
        <v>3.9411764705882355</v>
      </c>
      <c r="L13" s="4">
        <v>22</v>
      </c>
      <c r="M13" s="4">
        <v>17</v>
      </c>
      <c r="N13" s="4">
        <f t="shared" si="3"/>
        <v>3.0454545454545454</v>
      </c>
      <c r="O13" s="4">
        <f t="shared" si="4"/>
        <v>3.9411764705882355</v>
      </c>
      <c r="P13" s="4">
        <v>34</v>
      </c>
      <c r="Q13" s="4">
        <v>17</v>
      </c>
      <c r="R13" s="3">
        <f t="shared" si="5"/>
        <v>1.9705882352941178</v>
      </c>
      <c r="S13" s="3">
        <f t="shared" si="6"/>
        <v>3.9411764705882355</v>
      </c>
      <c r="T13" s="4">
        <v>34</v>
      </c>
      <c r="U13" s="4">
        <v>34</v>
      </c>
      <c r="V13" s="3">
        <f t="shared" si="7"/>
        <v>1.9705882352941178</v>
      </c>
      <c r="W13" s="3">
        <f t="shared" si="8"/>
        <v>1.9705882352941178</v>
      </c>
      <c r="X13" s="4">
        <v>67</v>
      </c>
      <c r="Y13" s="4">
        <v>67</v>
      </c>
      <c r="Z13" s="4">
        <f t="shared" si="9"/>
        <v>1</v>
      </c>
      <c r="AA13" s="4">
        <f t="shared" si="10"/>
        <v>1</v>
      </c>
    </row>
    <row r="14" spans="3:27" ht="15">
      <c r="C14" s="49" t="s">
        <v>23</v>
      </c>
      <c r="D14" s="49"/>
      <c r="E14" s="49"/>
      <c r="F14" s="49"/>
      <c r="G14" s="49"/>
      <c r="H14" s="49"/>
      <c r="I14" s="49"/>
      <c r="J14" s="6">
        <f>SUM(J5:J13)</f>
        <v>101.09884756048548</v>
      </c>
      <c r="K14" s="6">
        <f>SUM(K5:K13)</f>
        <v>68.04145119586295</v>
      </c>
      <c r="L14" s="40"/>
      <c r="M14" s="41"/>
      <c r="N14" s="6">
        <f>SUM(N5:N13)</f>
        <v>54.42545012458805</v>
      </c>
      <c r="O14" s="6">
        <f>SUM(O5:O13)</f>
        <v>68.04145119586295</v>
      </c>
      <c r="P14" s="40"/>
      <c r="Q14" s="41"/>
      <c r="R14" s="6">
        <f>SUM(R5:R13)</f>
        <v>99.03648125032505</v>
      </c>
      <c r="S14" s="6">
        <f>SUM(S5:S13)</f>
        <v>68.04145119586295</v>
      </c>
      <c r="T14" s="40"/>
      <c r="U14" s="41"/>
      <c r="V14" s="6">
        <f>SUM(V5:V13)</f>
        <v>30.643389197450404</v>
      </c>
      <c r="W14" s="6">
        <f>SUM(W5:W13)</f>
        <v>36.597648674854554</v>
      </c>
      <c r="X14" s="40"/>
      <c r="Y14" s="41"/>
      <c r="Z14" s="6">
        <f>SUM(Z5:Z13)</f>
        <v>22.07699064220803</v>
      </c>
      <c r="AA14" s="6">
        <f>SUM(AA5:AA13)</f>
        <v>22.07699064220803</v>
      </c>
    </row>
    <row r="16" spans="4:7" ht="15">
      <c r="D16" s="14" t="s">
        <v>48</v>
      </c>
      <c r="E16" s="20">
        <f>MAX(J14,N14,R14,V14,Z14)</f>
        <v>101.09884756048548</v>
      </c>
      <c r="F16" s="14" t="s">
        <v>49</v>
      </c>
      <c r="G16" s="6">
        <f>MAX(K14,O14,S14,W14,AA14)</f>
        <v>68.04145119586295</v>
      </c>
    </row>
    <row r="18" spans="4:25" ht="15">
      <c r="D18" s="50" t="s">
        <v>25</v>
      </c>
      <c r="E18" s="50"/>
      <c r="F18" s="50"/>
      <c r="G18" s="50"/>
      <c r="H18" s="39" t="s">
        <v>26</v>
      </c>
      <c r="I18" s="39"/>
      <c r="J18" s="39"/>
      <c r="K18" s="39"/>
      <c r="L18" s="39" t="s">
        <v>27</v>
      </c>
      <c r="M18" s="39"/>
      <c r="N18" s="39"/>
      <c r="O18" s="39"/>
      <c r="P18" s="39" t="s">
        <v>28</v>
      </c>
      <c r="Q18" s="39"/>
      <c r="R18" s="39"/>
      <c r="S18" s="39"/>
      <c r="T18" s="39" t="s">
        <v>19</v>
      </c>
      <c r="U18" s="39"/>
      <c r="V18" s="39"/>
      <c r="W18" s="39"/>
      <c r="X18" s="39"/>
      <c r="Y18" s="39"/>
    </row>
    <row r="19" spans="4:25" ht="15" customHeight="1">
      <c r="D19" s="37" t="s">
        <v>11</v>
      </c>
      <c r="E19" s="37"/>
      <c r="F19" s="44" t="s">
        <v>24</v>
      </c>
      <c r="G19" s="45"/>
      <c r="H19" s="37" t="s">
        <v>13</v>
      </c>
      <c r="I19" s="37"/>
      <c r="J19" s="44" t="s">
        <v>30</v>
      </c>
      <c r="K19" s="45"/>
      <c r="L19" s="37" t="s">
        <v>15</v>
      </c>
      <c r="M19" s="37"/>
      <c r="N19" s="44" t="s">
        <v>31</v>
      </c>
      <c r="O19" s="45"/>
      <c r="P19" s="37" t="s">
        <v>17</v>
      </c>
      <c r="Q19" s="37"/>
      <c r="R19" s="44" t="s">
        <v>32</v>
      </c>
      <c r="S19" s="45"/>
      <c r="T19" s="43" t="s">
        <v>29</v>
      </c>
      <c r="U19" s="43"/>
      <c r="V19" s="34" t="s">
        <v>22</v>
      </c>
      <c r="W19" s="34"/>
      <c r="X19" s="44" t="s">
        <v>33</v>
      </c>
      <c r="Y19" s="45"/>
    </row>
    <row r="20" spans="4:25" ht="15">
      <c r="D20" s="3">
        <v>4.9375</v>
      </c>
      <c r="E20" s="3" t="s">
        <v>3</v>
      </c>
      <c r="F20" s="3">
        <f>D20*3</f>
        <v>14.8125</v>
      </c>
      <c r="G20" s="3" t="s">
        <v>3</v>
      </c>
      <c r="H20" s="3" t="s">
        <v>3</v>
      </c>
      <c r="I20" s="3" t="s">
        <v>3</v>
      </c>
      <c r="J20" s="3" t="s">
        <v>3</v>
      </c>
      <c r="K20" s="3" t="s">
        <v>3</v>
      </c>
      <c r="L20" s="3">
        <v>3.95</v>
      </c>
      <c r="M20" s="3" t="s">
        <v>3</v>
      </c>
      <c r="N20" s="3">
        <f>L20*4</f>
        <v>15.8</v>
      </c>
      <c r="O20" s="3" t="s">
        <v>3</v>
      </c>
      <c r="P20" s="3" t="s">
        <v>3</v>
      </c>
      <c r="Q20" s="3" t="s">
        <v>3</v>
      </c>
      <c r="R20" s="3" t="s">
        <v>3</v>
      </c>
      <c r="S20" s="3" t="s">
        <v>3</v>
      </c>
      <c r="T20" s="1" t="s">
        <v>3</v>
      </c>
      <c r="U20" s="1" t="s">
        <v>3</v>
      </c>
      <c r="V20" s="3" t="s">
        <v>3</v>
      </c>
      <c r="W20" s="3" t="s">
        <v>3</v>
      </c>
      <c r="X20" s="3" t="s">
        <v>3</v>
      </c>
      <c r="Y20" s="3" t="s">
        <v>3</v>
      </c>
    </row>
    <row r="21" spans="4:25" ht="15">
      <c r="D21" s="3">
        <v>27.25</v>
      </c>
      <c r="E21" s="3">
        <v>22</v>
      </c>
      <c r="F21" s="3">
        <f aca="true" t="shared" si="11" ref="F21:F28">D21*3</f>
        <v>81.75</v>
      </c>
      <c r="G21" s="3">
        <f aca="true" t="shared" si="12" ref="G21:G28">E21*3</f>
        <v>66</v>
      </c>
      <c r="H21" s="3">
        <v>18.166666666666668</v>
      </c>
      <c r="I21" s="3">
        <v>22</v>
      </c>
      <c r="J21" s="3">
        <f aca="true" t="shared" si="13" ref="J21:J28">H21*5</f>
        <v>90.83333333333334</v>
      </c>
      <c r="K21" s="3">
        <f aca="true" t="shared" si="14" ref="K21:K28">I21*5</f>
        <v>110</v>
      </c>
      <c r="L21" s="3">
        <v>27.25</v>
      </c>
      <c r="M21" s="3">
        <v>22</v>
      </c>
      <c r="N21" s="3">
        <f aca="true" t="shared" si="15" ref="N21:N28">L21*4</f>
        <v>109</v>
      </c>
      <c r="O21" s="3">
        <f aca="true" t="shared" si="16" ref="O21:O28">M21*4</f>
        <v>88</v>
      </c>
      <c r="P21" s="3">
        <v>7.785714285714286</v>
      </c>
      <c r="Q21" s="3">
        <v>12</v>
      </c>
      <c r="R21" s="3">
        <f aca="true" t="shared" si="17" ref="R21:R28">P21*3</f>
        <v>23.357142857142858</v>
      </c>
      <c r="S21" s="3">
        <f aca="true" t="shared" si="18" ref="S21:S28">Q21*3</f>
        <v>36</v>
      </c>
      <c r="T21" s="1">
        <v>3.8</v>
      </c>
      <c r="U21" s="1">
        <v>3.8</v>
      </c>
      <c r="V21" s="3">
        <v>4.954545454545454</v>
      </c>
      <c r="W21" s="3">
        <v>4.954545454545454</v>
      </c>
      <c r="X21" s="3">
        <f aca="true" t="shared" si="19" ref="X21:X28">T21*V21</f>
        <v>18.827272727272724</v>
      </c>
      <c r="Y21" s="3">
        <f>U21*W21</f>
        <v>18.827272727272724</v>
      </c>
    </row>
    <row r="22" spans="4:25" ht="15">
      <c r="D22" s="3">
        <v>13.4</v>
      </c>
      <c r="E22" s="3">
        <v>5</v>
      </c>
      <c r="F22" s="3">
        <f t="shared" si="11"/>
        <v>40.2</v>
      </c>
      <c r="G22" s="3">
        <f t="shared" si="12"/>
        <v>15</v>
      </c>
      <c r="H22" s="3">
        <v>5.153846153846154</v>
      </c>
      <c r="I22" s="3">
        <v>5.153846153846154</v>
      </c>
      <c r="J22" s="3">
        <f t="shared" si="13"/>
        <v>25.76923076923077</v>
      </c>
      <c r="K22" s="3">
        <f t="shared" si="14"/>
        <v>25.76923076923077</v>
      </c>
      <c r="L22" s="3">
        <v>13.4</v>
      </c>
      <c r="M22" s="3">
        <v>5.153846153846154</v>
      </c>
      <c r="N22" s="3">
        <f t="shared" si="15"/>
        <v>53.6</v>
      </c>
      <c r="O22" s="3">
        <f t="shared" si="16"/>
        <v>20.615384615384617</v>
      </c>
      <c r="P22" s="3">
        <v>5.153846153846154</v>
      </c>
      <c r="Q22" s="3">
        <v>5.153846153846154</v>
      </c>
      <c r="R22" s="3">
        <f t="shared" si="17"/>
        <v>15.461538461538463</v>
      </c>
      <c r="S22" s="3">
        <f t="shared" si="18"/>
        <v>15.461538461538463</v>
      </c>
      <c r="T22" s="1">
        <v>2.6</v>
      </c>
      <c r="U22" s="1">
        <v>2.6</v>
      </c>
      <c r="V22" s="3">
        <v>5.153846153846154</v>
      </c>
      <c r="W22" s="3">
        <v>5.153846153846154</v>
      </c>
      <c r="X22" s="3">
        <f t="shared" si="19"/>
        <v>13.400000000000002</v>
      </c>
      <c r="Y22" s="3">
        <f>U22*W22</f>
        <v>13.400000000000002</v>
      </c>
    </row>
    <row r="23" spans="4:25" ht="15">
      <c r="D23" s="3">
        <v>18.833333333333332</v>
      </c>
      <c r="E23" s="3">
        <v>14.125</v>
      </c>
      <c r="F23" s="3">
        <f t="shared" si="11"/>
        <v>56.5</v>
      </c>
      <c r="G23" s="3">
        <f t="shared" si="12"/>
        <v>42.375</v>
      </c>
      <c r="H23" s="3">
        <v>14.125</v>
      </c>
      <c r="I23" s="3">
        <v>14.125</v>
      </c>
      <c r="J23" s="3">
        <f t="shared" si="13"/>
        <v>70.625</v>
      </c>
      <c r="K23" s="3">
        <f t="shared" si="14"/>
        <v>70.625</v>
      </c>
      <c r="L23" s="3">
        <v>18.833333333333332</v>
      </c>
      <c r="M23" s="3">
        <v>14.125</v>
      </c>
      <c r="N23" s="3">
        <f t="shared" si="15"/>
        <v>75.33333333333333</v>
      </c>
      <c r="O23" s="3">
        <f t="shared" si="16"/>
        <v>56.5</v>
      </c>
      <c r="P23" s="3">
        <v>4.913043478260869</v>
      </c>
      <c r="Q23" s="3">
        <v>7.0625</v>
      </c>
      <c r="R23" s="3">
        <f t="shared" si="17"/>
        <v>14.739130434782608</v>
      </c>
      <c r="S23" s="3">
        <f t="shared" si="18"/>
        <v>21.1875</v>
      </c>
      <c r="T23" s="1">
        <v>3.5</v>
      </c>
      <c r="U23" s="1">
        <v>3.8</v>
      </c>
      <c r="V23" s="3">
        <v>4.913043478260869</v>
      </c>
      <c r="W23" s="3">
        <v>4.913043478260869</v>
      </c>
      <c r="X23" s="3">
        <f t="shared" si="19"/>
        <v>17.195652173913043</v>
      </c>
      <c r="Y23" s="3">
        <f>U23*W23</f>
        <v>18.669565217391302</v>
      </c>
    </row>
    <row r="24" spans="4:25" ht="15">
      <c r="D24" s="3">
        <v>21.8</v>
      </c>
      <c r="E24" s="3">
        <v>15.571428571428571</v>
      </c>
      <c r="F24" s="3">
        <f t="shared" si="11"/>
        <v>65.4</v>
      </c>
      <c r="G24" s="3">
        <f t="shared" si="12"/>
        <v>46.714285714285715</v>
      </c>
      <c r="H24" s="3">
        <v>10.9</v>
      </c>
      <c r="I24" s="3">
        <v>15.571428571428571</v>
      </c>
      <c r="J24" s="3">
        <f t="shared" si="13"/>
        <v>54.5</v>
      </c>
      <c r="K24" s="3">
        <f t="shared" si="14"/>
        <v>77.85714285714286</v>
      </c>
      <c r="L24" s="3">
        <v>21.8</v>
      </c>
      <c r="M24" s="3">
        <v>15.571428571428571</v>
      </c>
      <c r="N24" s="3">
        <f t="shared" si="15"/>
        <v>87.2</v>
      </c>
      <c r="O24" s="3">
        <f t="shared" si="16"/>
        <v>62.285714285714285</v>
      </c>
      <c r="P24" s="3">
        <v>7.785714285714286</v>
      </c>
      <c r="Q24" s="3">
        <v>7</v>
      </c>
      <c r="R24" s="3">
        <f t="shared" si="17"/>
        <v>23.357142857142858</v>
      </c>
      <c r="S24" s="3">
        <f t="shared" si="18"/>
        <v>21</v>
      </c>
      <c r="T24" s="1">
        <v>3.5</v>
      </c>
      <c r="U24" s="1">
        <v>3.5</v>
      </c>
      <c r="V24" s="3">
        <v>6.055555555555555</v>
      </c>
      <c r="W24" s="3">
        <v>6.055555555555555</v>
      </c>
      <c r="X24" s="3">
        <f t="shared" si="19"/>
        <v>21.194444444444443</v>
      </c>
      <c r="Y24" s="3">
        <f>U24*W24</f>
        <v>21.194444444444443</v>
      </c>
    </row>
    <row r="25" spans="4:25" ht="15">
      <c r="D25" s="3">
        <v>4.875</v>
      </c>
      <c r="E25" s="3" t="s">
        <v>3</v>
      </c>
      <c r="F25" s="3">
        <f t="shared" si="11"/>
        <v>14.625</v>
      </c>
      <c r="G25" s="3" t="s">
        <v>3</v>
      </c>
      <c r="H25" s="3" t="s">
        <v>3</v>
      </c>
      <c r="I25" s="3" t="s">
        <v>3</v>
      </c>
      <c r="J25" s="3" t="s">
        <v>3</v>
      </c>
      <c r="K25" s="3" t="s">
        <v>3</v>
      </c>
      <c r="L25" s="3">
        <v>4.875</v>
      </c>
      <c r="M25" s="3" t="s">
        <v>3</v>
      </c>
      <c r="N25" s="3">
        <f t="shared" si="15"/>
        <v>19.5</v>
      </c>
      <c r="O25" s="3" t="s">
        <v>3</v>
      </c>
      <c r="P25" s="3" t="s">
        <v>3</v>
      </c>
      <c r="Q25" s="3" t="s">
        <v>3</v>
      </c>
      <c r="R25" s="3" t="s">
        <v>3</v>
      </c>
      <c r="S25" s="3" t="s">
        <v>3</v>
      </c>
      <c r="T25" s="1" t="s">
        <v>3</v>
      </c>
      <c r="U25" s="1" t="s">
        <v>3</v>
      </c>
      <c r="V25" s="3" t="s">
        <v>3</v>
      </c>
      <c r="W25" s="3" t="s">
        <v>3</v>
      </c>
      <c r="X25" s="3" t="s">
        <v>3</v>
      </c>
      <c r="Y25" s="3" t="s">
        <v>3</v>
      </c>
    </row>
    <row r="26" spans="4:25" ht="15">
      <c r="D26" s="3">
        <v>3.923076923076923</v>
      </c>
      <c r="E26" s="3" t="s">
        <v>3</v>
      </c>
      <c r="F26" s="3">
        <f t="shared" si="11"/>
        <v>11.769230769230768</v>
      </c>
      <c r="G26" s="3" t="s">
        <v>3</v>
      </c>
      <c r="H26" s="3" t="s">
        <v>3</v>
      </c>
      <c r="I26" s="3" t="s">
        <v>3</v>
      </c>
      <c r="J26" s="3" t="s">
        <v>3</v>
      </c>
      <c r="K26" s="3" t="s">
        <v>3</v>
      </c>
      <c r="L26" s="3">
        <v>3.923076923076923</v>
      </c>
      <c r="M26" s="3" t="s">
        <v>3</v>
      </c>
      <c r="N26" s="3">
        <f t="shared" si="15"/>
        <v>15.692307692307692</v>
      </c>
      <c r="O26" s="3" t="s">
        <v>3</v>
      </c>
      <c r="P26" s="3" t="s">
        <v>3</v>
      </c>
      <c r="Q26" s="3" t="s">
        <v>3</v>
      </c>
      <c r="R26" s="3" t="s">
        <v>3</v>
      </c>
      <c r="S26" s="3" t="s">
        <v>3</v>
      </c>
      <c r="T26" s="1" t="s">
        <v>3</v>
      </c>
      <c r="U26" s="1" t="s">
        <v>3</v>
      </c>
      <c r="V26" s="3" t="s">
        <v>3</v>
      </c>
      <c r="W26" s="3" t="s">
        <v>3</v>
      </c>
      <c r="X26" s="3" t="s">
        <v>3</v>
      </c>
      <c r="Y26" s="3" t="s">
        <v>3</v>
      </c>
    </row>
    <row r="27" spans="4:25" ht="15">
      <c r="D27" s="3">
        <v>3.0344827586206895</v>
      </c>
      <c r="E27" s="3">
        <v>2</v>
      </c>
      <c r="F27" s="3">
        <f t="shared" si="11"/>
        <v>9.103448275862068</v>
      </c>
      <c r="G27" s="3">
        <f t="shared" si="12"/>
        <v>6</v>
      </c>
      <c r="H27" s="3">
        <v>3.0344827586206895</v>
      </c>
      <c r="I27" s="3">
        <v>2</v>
      </c>
      <c r="J27" s="3">
        <f t="shared" si="13"/>
        <v>15.172413793103448</v>
      </c>
      <c r="K27" s="3">
        <f t="shared" si="14"/>
        <v>10</v>
      </c>
      <c r="L27" s="3">
        <v>3.0344827586206895</v>
      </c>
      <c r="M27" s="3">
        <v>2</v>
      </c>
      <c r="N27" s="3">
        <f t="shared" si="15"/>
        <v>12.137931034482758</v>
      </c>
      <c r="O27" s="3">
        <f t="shared" si="16"/>
        <v>8</v>
      </c>
      <c r="P27" s="3">
        <v>3.0344827586206895</v>
      </c>
      <c r="Q27" s="3">
        <v>1</v>
      </c>
      <c r="R27" s="3">
        <f t="shared" si="17"/>
        <v>9.103448275862068</v>
      </c>
      <c r="S27" s="3">
        <f t="shared" si="18"/>
        <v>3</v>
      </c>
      <c r="T27" s="1" t="s">
        <v>3</v>
      </c>
      <c r="U27" s="1" t="s">
        <v>3</v>
      </c>
      <c r="V27" s="3" t="s">
        <v>3</v>
      </c>
      <c r="W27" s="3" t="s">
        <v>3</v>
      </c>
      <c r="X27" s="3" t="s">
        <v>3</v>
      </c>
      <c r="Y27" s="3" t="s">
        <v>3</v>
      </c>
    </row>
    <row r="28" spans="4:25" ht="15">
      <c r="D28" s="3">
        <v>3.0454545454545454</v>
      </c>
      <c r="E28" s="3">
        <v>3.9411764705882355</v>
      </c>
      <c r="F28" s="3">
        <f t="shared" si="11"/>
        <v>9.136363636363637</v>
      </c>
      <c r="G28" s="3">
        <f t="shared" si="12"/>
        <v>11.823529411764707</v>
      </c>
      <c r="H28" s="3">
        <v>3.0454545454545454</v>
      </c>
      <c r="I28" s="3">
        <v>3.9411764705882355</v>
      </c>
      <c r="J28" s="3">
        <f t="shared" si="13"/>
        <v>15.227272727272727</v>
      </c>
      <c r="K28" s="3">
        <f t="shared" si="14"/>
        <v>19.705882352941178</v>
      </c>
      <c r="L28" s="3">
        <v>1.9705882352941178</v>
      </c>
      <c r="M28" s="3">
        <v>3.9411764705882355</v>
      </c>
      <c r="N28" s="3">
        <f t="shared" si="15"/>
        <v>7.882352941176471</v>
      </c>
      <c r="O28" s="3">
        <f t="shared" si="16"/>
        <v>15.764705882352942</v>
      </c>
      <c r="P28" s="3">
        <v>1.9705882352941178</v>
      </c>
      <c r="Q28" s="3">
        <v>1.9705882352941178</v>
      </c>
      <c r="R28" s="3">
        <f t="shared" si="17"/>
        <v>5.911764705882353</v>
      </c>
      <c r="S28" s="3">
        <f t="shared" si="18"/>
        <v>5.911764705882353</v>
      </c>
      <c r="T28" s="1">
        <v>0.5</v>
      </c>
      <c r="U28" s="1" t="s">
        <v>3</v>
      </c>
      <c r="V28" s="3">
        <v>1</v>
      </c>
      <c r="W28" s="3">
        <v>1</v>
      </c>
      <c r="X28" s="3">
        <f t="shared" si="19"/>
        <v>0.5</v>
      </c>
      <c r="Y28" s="3" t="s">
        <v>3</v>
      </c>
    </row>
    <row r="29" spans="4:25" ht="15">
      <c r="D29" s="36" t="s">
        <v>23</v>
      </c>
      <c r="E29" s="36"/>
      <c r="F29" s="6">
        <f>SUM(F20:F28)</f>
        <v>303.2965426814565</v>
      </c>
      <c r="G29" s="6">
        <f>SUM(G20:G28)</f>
        <v>187.91281512605042</v>
      </c>
      <c r="H29" s="40"/>
      <c r="I29" s="41"/>
      <c r="J29" s="6">
        <f>SUM(J20:J28)</f>
        <v>272.1272506229403</v>
      </c>
      <c r="K29" s="6">
        <f>SUM(K20:K28)</f>
        <v>313.95725597931477</v>
      </c>
      <c r="L29" s="40"/>
      <c r="M29" s="41"/>
      <c r="N29" s="6">
        <f>SUM(N20:N28)</f>
        <v>396.1459250013002</v>
      </c>
      <c r="O29" s="6">
        <f>SUM(O20:O28)</f>
        <v>251.16580478345185</v>
      </c>
      <c r="P29" s="40"/>
      <c r="Q29" s="41"/>
      <c r="R29" s="6">
        <f>SUM(R20:R28)</f>
        <v>91.9301675923512</v>
      </c>
      <c r="S29" s="6">
        <f>SUM(S20:S28)</f>
        <v>102.56080316742081</v>
      </c>
      <c r="T29" s="40"/>
      <c r="U29" s="42"/>
      <c r="V29" s="42"/>
      <c r="W29" s="41"/>
      <c r="X29" s="6">
        <f>SUM(X20:X28)</f>
        <v>71.11736934563021</v>
      </c>
      <c r="Y29" s="6">
        <f>SUM(Y20:Y28)</f>
        <v>72.09128238910847</v>
      </c>
    </row>
    <row r="31" spans="4:7" ht="15">
      <c r="D31" s="14" t="s">
        <v>75</v>
      </c>
      <c r="E31" s="6">
        <f>SUM(F29,J29,N29,R29,X29)</f>
        <v>1134.6172552436783</v>
      </c>
      <c r="F31" s="14" t="s">
        <v>76</v>
      </c>
      <c r="G31" s="6">
        <f>SUM(G29,K29,O29,S29,Y29)</f>
        <v>927.6879614453462</v>
      </c>
    </row>
    <row r="32" spans="4:5" ht="15">
      <c r="D32" s="13" t="s">
        <v>34</v>
      </c>
      <c r="E32" s="13">
        <f>E31/E16</f>
        <v>11.222850533136482</v>
      </c>
    </row>
    <row r="33" spans="4:5" ht="15">
      <c r="D33" s="10" t="s">
        <v>35</v>
      </c>
      <c r="E33" s="10">
        <f>G31/G16</f>
        <v>13.634158959586557</v>
      </c>
    </row>
    <row r="34" spans="4:5" ht="15">
      <c r="D34" s="10" t="s">
        <v>36</v>
      </c>
      <c r="E34" s="10">
        <f>(E32*254+E33*112)/365</f>
        <v>11.993506407918796</v>
      </c>
    </row>
    <row r="35" spans="4:5" ht="15">
      <c r="D35" s="11" t="s">
        <v>39</v>
      </c>
      <c r="E35" s="11">
        <f>E31*254+G31*112</f>
        <v>392093.8345137731</v>
      </c>
    </row>
    <row r="36" spans="4:5" ht="15">
      <c r="D36" s="11" t="s">
        <v>38</v>
      </c>
      <c r="E36" s="12">
        <f>E35/E37</f>
        <v>3087.3530276675046</v>
      </c>
    </row>
    <row r="37" spans="4:5" ht="15">
      <c r="D37" s="11" t="s">
        <v>37</v>
      </c>
      <c r="E37" s="12">
        <f>ROUNDUP(J14/0.8,0)</f>
        <v>127</v>
      </c>
    </row>
    <row r="38" spans="4:5" ht="15">
      <c r="D38" s="11" t="s">
        <v>52</v>
      </c>
      <c r="E38" s="11">
        <v>254</v>
      </c>
    </row>
    <row r="39" spans="4:5" ht="15">
      <c r="D39" s="11" t="s">
        <v>53</v>
      </c>
      <c r="E39" s="11">
        <v>112</v>
      </c>
    </row>
    <row r="47" spans="4:14" ht="15">
      <c r="D47" s="36" t="s">
        <v>5</v>
      </c>
      <c r="E47" s="36" t="s">
        <v>6</v>
      </c>
      <c r="F47" s="36"/>
      <c r="G47" s="36" t="s">
        <v>7</v>
      </c>
      <c r="H47" s="36"/>
      <c r="I47" s="36" t="s">
        <v>8</v>
      </c>
      <c r="J47" s="36"/>
      <c r="K47" s="36" t="s">
        <v>9</v>
      </c>
      <c r="L47" s="36"/>
      <c r="M47" s="36" t="s">
        <v>20</v>
      </c>
      <c r="N47" s="36"/>
    </row>
    <row r="48" spans="4:14" ht="15">
      <c r="D48" s="36"/>
      <c r="E48" s="37" t="s">
        <v>40</v>
      </c>
      <c r="F48" s="37"/>
      <c r="G48" s="37" t="s">
        <v>41</v>
      </c>
      <c r="H48" s="37"/>
      <c r="I48" s="37" t="s">
        <v>42</v>
      </c>
      <c r="J48" s="37"/>
      <c r="K48" s="37" t="s">
        <v>43</v>
      </c>
      <c r="L48" s="37"/>
      <c r="M48" s="37" t="s">
        <v>44</v>
      </c>
      <c r="N48" s="37"/>
    </row>
    <row r="49" spans="4:14" ht="15">
      <c r="D49" s="7">
        <v>18.835443037974684</v>
      </c>
      <c r="E49" s="8">
        <f aca="true" t="shared" si="20" ref="E49:E57">D49*F20</f>
        <v>279</v>
      </c>
      <c r="F49" s="5" t="s">
        <v>3</v>
      </c>
      <c r="G49" s="9" t="s">
        <v>3</v>
      </c>
      <c r="H49" s="9" t="s">
        <v>3</v>
      </c>
      <c r="I49" s="9">
        <f aca="true" t="shared" si="21" ref="I49:I57">D49*N20</f>
        <v>297.6</v>
      </c>
      <c r="J49" s="9" t="s">
        <v>3</v>
      </c>
      <c r="K49" s="9" t="s">
        <v>3</v>
      </c>
      <c r="L49" s="9" t="s">
        <v>3</v>
      </c>
      <c r="M49" s="9" t="s">
        <v>3</v>
      </c>
      <c r="N49" s="9" t="s">
        <v>3</v>
      </c>
    </row>
    <row r="50" spans="4:14" ht="15">
      <c r="D50" s="7">
        <v>17.284403669724767</v>
      </c>
      <c r="E50" s="8">
        <f t="shared" si="20"/>
        <v>1412.9999999999998</v>
      </c>
      <c r="F50" s="5">
        <f>D50*G21</f>
        <v>1140.7706422018346</v>
      </c>
      <c r="G50" s="9">
        <f>D50*J21</f>
        <v>1569.9999999999998</v>
      </c>
      <c r="H50" s="9">
        <f>D50*K21</f>
        <v>1901.2844036697245</v>
      </c>
      <c r="I50" s="9">
        <f t="shared" si="21"/>
        <v>1883.9999999999995</v>
      </c>
      <c r="J50" s="9">
        <f>D50*O21</f>
        <v>1521.0275229357794</v>
      </c>
      <c r="K50" s="9">
        <f>D50*R21</f>
        <v>403.71428571428567</v>
      </c>
      <c r="L50" s="9">
        <f>D50*S21</f>
        <v>622.2385321100917</v>
      </c>
      <c r="M50" s="9">
        <f>D50*X21</f>
        <v>325.4181818181817</v>
      </c>
      <c r="N50" s="9">
        <f>D50*Y21</f>
        <v>325.4181818181817</v>
      </c>
    </row>
    <row r="51" spans="4:14" ht="15">
      <c r="D51" s="7">
        <v>19.432835820895523</v>
      </c>
      <c r="E51" s="8">
        <f t="shared" si="20"/>
        <v>781.2</v>
      </c>
      <c r="F51" s="5">
        <f>D51*G22</f>
        <v>291.4925373134328</v>
      </c>
      <c r="G51" s="9">
        <f>D51*J22</f>
        <v>500.7692307692308</v>
      </c>
      <c r="H51" s="9">
        <f>D51*K22</f>
        <v>500.7692307692308</v>
      </c>
      <c r="I51" s="9">
        <f t="shared" si="21"/>
        <v>1041.6000000000001</v>
      </c>
      <c r="J51" s="9">
        <f>D51*O22</f>
        <v>400.61538461538464</v>
      </c>
      <c r="K51" s="9">
        <f>D51*R22</f>
        <v>300.4615384615385</v>
      </c>
      <c r="L51" s="9">
        <f>D51*S22</f>
        <v>300.4615384615385</v>
      </c>
      <c r="M51" s="9">
        <f>D51*X22</f>
        <v>260.40000000000003</v>
      </c>
      <c r="N51" s="9">
        <f>D51*Y22</f>
        <v>260.40000000000003</v>
      </c>
    </row>
    <row r="52" spans="4:14" ht="15">
      <c r="D52" s="7">
        <v>16.4070796460177</v>
      </c>
      <c r="E52" s="8">
        <f t="shared" si="20"/>
        <v>927</v>
      </c>
      <c r="F52" s="5">
        <f>D52*G23</f>
        <v>695.25</v>
      </c>
      <c r="G52" s="9">
        <f>D52*J23</f>
        <v>1158.75</v>
      </c>
      <c r="H52" s="9">
        <f>D52*K23</f>
        <v>1158.75</v>
      </c>
      <c r="I52" s="9">
        <f t="shared" si="21"/>
        <v>1236</v>
      </c>
      <c r="J52" s="9">
        <f>D52*O23</f>
        <v>927</v>
      </c>
      <c r="K52" s="9">
        <f>D52*R23</f>
        <v>241.82608695652172</v>
      </c>
      <c r="L52" s="9">
        <f>D52*S23</f>
        <v>347.625</v>
      </c>
      <c r="M52" s="9">
        <f>D52*X23</f>
        <v>282.1304347826087</v>
      </c>
      <c r="N52" s="9">
        <f>D52*Y23</f>
        <v>306.31304347826085</v>
      </c>
    </row>
    <row r="53" spans="4:14" ht="15">
      <c r="D53" s="7">
        <v>18.220183486238533</v>
      </c>
      <c r="E53" s="8">
        <f t="shared" si="20"/>
        <v>1191.6000000000001</v>
      </c>
      <c r="F53" s="5">
        <f>D53*G24</f>
        <v>851.1428571428572</v>
      </c>
      <c r="G53" s="9">
        <f>D53*J24</f>
        <v>993</v>
      </c>
      <c r="H53" s="9">
        <f>D53*K24</f>
        <v>1418.5714285714287</v>
      </c>
      <c r="I53" s="9">
        <f t="shared" si="21"/>
        <v>1588.8000000000002</v>
      </c>
      <c r="J53" s="9">
        <f>D53*O24</f>
        <v>1134.857142857143</v>
      </c>
      <c r="K53" s="9">
        <f>D53*R24</f>
        <v>425.5714285714286</v>
      </c>
      <c r="L53" s="9">
        <f>D53*S24</f>
        <v>382.6238532110092</v>
      </c>
      <c r="M53" s="9">
        <f>D53*X24</f>
        <v>386.16666666666663</v>
      </c>
      <c r="N53" s="9">
        <f>D53*Y24</f>
        <v>386.16666666666663</v>
      </c>
    </row>
    <row r="54" spans="4:14" ht="15">
      <c r="D54" s="7">
        <v>18.692307692307693</v>
      </c>
      <c r="E54" s="8">
        <f t="shared" si="20"/>
        <v>273.375</v>
      </c>
      <c r="F54" s="5" t="s">
        <v>3</v>
      </c>
      <c r="G54" s="9" t="s">
        <v>3</v>
      </c>
      <c r="H54" s="9" t="s">
        <v>3</v>
      </c>
      <c r="I54" s="9">
        <f t="shared" si="21"/>
        <v>364.5</v>
      </c>
      <c r="J54" s="9" t="s">
        <v>3</v>
      </c>
      <c r="K54" s="9" t="s">
        <v>3</v>
      </c>
      <c r="L54" s="9" t="s">
        <v>3</v>
      </c>
      <c r="M54" s="9" t="s">
        <v>3</v>
      </c>
      <c r="N54" s="9" t="s">
        <v>3</v>
      </c>
    </row>
    <row r="55" spans="4:14" ht="15">
      <c r="D55" s="7">
        <v>17.941176470588236</v>
      </c>
      <c r="E55" s="8">
        <f t="shared" si="20"/>
        <v>211.15384615384613</v>
      </c>
      <c r="F55" s="5" t="s">
        <v>3</v>
      </c>
      <c r="G55" s="9" t="s">
        <v>3</v>
      </c>
      <c r="H55" s="9" t="s">
        <v>3</v>
      </c>
      <c r="I55" s="9">
        <f t="shared" si="21"/>
        <v>281.53846153846155</v>
      </c>
      <c r="J55" s="9" t="s">
        <v>3</v>
      </c>
      <c r="K55" s="9" t="s">
        <v>3</v>
      </c>
      <c r="L55" s="9" t="s">
        <v>3</v>
      </c>
      <c r="M55" s="9" t="s">
        <v>3</v>
      </c>
      <c r="N55" s="9" t="s">
        <v>3</v>
      </c>
    </row>
    <row r="56" spans="4:14" ht="15">
      <c r="D56" s="7">
        <v>17.386363636363637</v>
      </c>
      <c r="E56" s="8">
        <f t="shared" si="20"/>
        <v>158.2758620689655</v>
      </c>
      <c r="F56" s="5">
        <f>D56*G27</f>
        <v>104.31818181818181</v>
      </c>
      <c r="G56" s="9">
        <f>D56*J27</f>
        <v>263.7931034482759</v>
      </c>
      <c r="H56" s="9">
        <f>D56*K27</f>
        <v>173.86363636363637</v>
      </c>
      <c r="I56" s="9">
        <f t="shared" si="21"/>
        <v>211.03448275862067</v>
      </c>
      <c r="J56" s="9">
        <f>D56*O27</f>
        <v>139.0909090909091</v>
      </c>
      <c r="K56" s="9">
        <f>D56*R27</f>
        <v>158.2758620689655</v>
      </c>
      <c r="L56" s="9">
        <f>D56*S27</f>
        <v>52.15909090909091</v>
      </c>
      <c r="M56" s="9" t="s">
        <v>3</v>
      </c>
      <c r="N56" s="9" t="s">
        <v>3</v>
      </c>
    </row>
    <row r="57" spans="4:14" ht="15">
      <c r="D57" s="7">
        <v>17.104477611940297</v>
      </c>
      <c r="E57" s="8">
        <f t="shared" si="20"/>
        <v>156.27272727272725</v>
      </c>
      <c r="F57" s="5">
        <f>D57*G28</f>
        <v>202.23529411764704</v>
      </c>
      <c r="G57" s="9">
        <f>D57*J28</f>
        <v>260.45454545454544</v>
      </c>
      <c r="H57" s="9">
        <f>D57*K28</f>
        <v>337.05882352941177</v>
      </c>
      <c r="I57" s="9">
        <f t="shared" si="21"/>
        <v>134.8235294117647</v>
      </c>
      <c r="J57" s="9">
        <f>D57*O28</f>
        <v>269.6470588235294</v>
      </c>
      <c r="K57" s="9">
        <f>D57*R28</f>
        <v>101.11764705882352</v>
      </c>
      <c r="L57" s="9">
        <f>D57*S28</f>
        <v>101.11764705882352</v>
      </c>
      <c r="M57" s="9">
        <f>D57*X28</f>
        <v>8.552238805970148</v>
      </c>
      <c r="N57" s="9" t="s">
        <v>3</v>
      </c>
    </row>
    <row r="58" spans="4:14" ht="15">
      <c r="D58" s="19" t="s">
        <v>23</v>
      </c>
      <c r="E58" s="7">
        <f aca="true" t="shared" si="22" ref="E58:N58">SUM(E49:E57)</f>
        <v>5390.8774354955385</v>
      </c>
      <c r="F58" s="7">
        <f t="shared" si="22"/>
        <v>3285.2095125939536</v>
      </c>
      <c r="G58" s="7">
        <f t="shared" si="22"/>
        <v>4746.766879672052</v>
      </c>
      <c r="H58" s="7">
        <f t="shared" si="22"/>
        <v>5490.297522903432</v>
      </c>
      <c r="I58" s="7">
        <f t="shared" si="22"/>
        <v>7039.896473708847</v>
      </c>
      <c r="J58" s="7">
        <f t="shared" si="22"/>
        <v>4392.238018322746</v>
      </c>
      <c r="K58" s="7">
        <f t="shared" si="22"/>
        <v>1630.9668488315635</v>
      </c>
      <c r="L58" s="7">
        <f t="shared" si="22"/>
        <v>1806.2256617505539</v>
      </c>
      <c r="M58" s="7">
        <f t="shared" si="22"/>
        <v>1262.667522073427</v>
      </c>
      <c r="N58" s="7">
        <f t="shared" si="22"/>
        <v>1278.2978919631091</v>
      </c>
    </row>
    <row r="59" spans="4:5" ht="15">
      <c r="D59" s="11" t="s">
        <v>45</v>
      </c>
      <c r="E59" s="7">
        <f>SUM(E58,G58,I58,K58,M58)</f>
        <v>20071.17515978143</v>
      </c>
    </row>
    <row r="60" spans="4:5" ht="15">
      <c r="D60" s="11" t="s">
        <v>46</v>
      </c>
      <c r="E60" s="7">
        <f>SUM(F58,H58,J58,L58,N58)</f>
        <v>16252.268607533793</v>
      </c>
    </row>
    <row r="61" spans="4:5" ht="15">
      <c r="D61" s="11" t="s">
        <v>47</v>
      </c>
      <c r="E61" s="2">
        <f>E59/E16</f>
        <v>198.53020725852718</v>
      </c>
    </row>
    <row r="62" spans="4:5" ht="15">
      <c r="D62" s="11" t="s">
        <v>50</v>
      </c>
      <c r="E62" s="2">
        <f>E60/G16</f>
        <v>238.85834769676345</v>
      </c>
    </row>
    <row r="63" spans="4:5" ht="15">
      <c r="D63" s="11" t="s">
        <v>51</v>
      </c>
      <c r="E63" s="2">
        <f>(E61*E38+E62*E39)/365</f>
        <v>211.44878790603676</v>
      </c>
    </row>
    <row r="64" spans="4:5" ht="15">
      <c r="D64" s="11" t="s">
        <v>54</v>
      </c>
      <c r="E64" s="2">
        <f>E59*E38+E60*E39</f>
        <v>6918332.574628268</v>
      </c>
    </row>
    <row r="65" spans="4:5" ht="15">
      <c r="D65" s="11" t="s">
        <v>55</v>
      </c>
      <c r="E65" s="6">
        <f>E64/E37</f>
        <v>54475.05964274227</v>
      </c>
    </row>
    <row r="67" spans="4:12" ht="15">
      <c r="D67" s="38" t="s">
        <v>56</v>
      </c>
      <c r="E67" s="48" t="s">
        <v>58</v>
      </c>
      <c r="F67" s="38" t="s">
        <v>57</v>
      </c>
      <c r="G67" s="39" t="s">
        <v>60</v>
      </c>
      <c r="H67" s="39"/>
      <c r="I67" s="39"/>
      <c r="J67" s="39"/>
      <c r="K67" s="39"/>
      <c r="L67" s="38" t="s">
        <v>59</v>
      </c>
    </row>
    <row r="68" spans="4:12" ht="15">
      <c r="D68" s="38"/>
      <c r="E68" s="48"/>
      <c r="F68" s="38"/>
      <c r="G68" s="11" t="s">
        <v>61</v>
      </c>
      <c r="H68" s="11" t="s">
        <v>62</v>
      </c>
      <c r="I68" s="11" t="s">
        <v>63</v>
      </c>
      <c r="J68" s="11" t="s">
        <v>64</v>
      </c>
      <c r="K68" s="11" t="s">
        <v>65</v>
      </c>
      <c r="L68" s="38"/>
    </row>
    <row r="69" spans="4:12" ht="15">
      <c r="D69" s="2">
        <v>200</v>
      </c>
      <c r="E69" s="2" t="s">
        <v>66</v>
      </c>
      <c r="F69" s="2">
        <v>10.1</v>
      </c>
      <c r="G69" s="2">
        <v>1</v>
      </c>
      <c r="H69" s="2">
        <v>1</v>
      </c>
      <c r="I69" s="2">
        <v>1.25</v>
      </c>
      <c r="J69" s="2">
        <v>1</v>
      </c>
      <c r="K69" s="2">
        <v>1.05</v>
      </c>
      <c r="L69" s="2">
        <f>F69*G69*H69*I69*J69*K69</f>
        <v>13.256250000000001</v>
      </c>
    </row>
    <row r="70" spans="4:12" ht="15">
      <c r="D70" s="2">
        <v>202.5</v>
      </c>
      <c r="E70" s="2" t="s">
        <v>66</v>
      </c>
      <c r="F70" s="2">
        <v>10.1</v>
      </c>
      <c r="G70" s="2">
        <v>1</v>
      </c>
      <c r="H70" s="2">
        <v>1</v>
      </c>
      <c r="I70" s="2">
        <v>1.25</v>
      </c>
      <c r="J70" s="2">
        <v>1</v>
      </c>
      <c r="K70" s="2">
        <v>1.05</v>
      </c>
      <c r="L70" s="2">
        <f aca="true" t="shared" si="23" ref="L70:L88">F70*G70*H70*I70*J70*K70</f>
        <v>13.256250000000001</v>
      </c>
    </row>
    <row r="71" spans="4:12" ht="15">
      <c r="D71" s="2">
        <v>205</v>
      </c>
      <c r="E71" s="2" t="s">
        <v>67</v>
      </c>
      <c r="F71" s="2">
        <v>32.6</v>
      </c>
      <c r="G71" s="2">
        <v>1</v>
      </c>
      <c r="H71" s="2">
        <v>1</v>
      </c>
      <c r="I71" s="2">
        <v>1.25</v>
      </c>
      <c r="J71" s="2">
        <v>1</v>
      </c>
      <c r="K71" s="2">
        <v>1.05</v>
      </c>
      <c r="L71" s="2">
        <f t="shared" si="23"/>
        <v>42.7875</v>
      </c>
    </row>
    <row r="72" spans="4:12" ht="15">
      <c r="D72" s="2">
        <v>207.5</v>
      </c>
      <c r="E72" s="2" t="s">
        <v>66</v>
      </c>
      <c r="F72" s="2">
        <v>10.1</v>
      </c>
      <c r="G72" s="2">
        <v>1</v>
      </c>
      <c r="H72" s="2">
        <v>1</v>
      </c>
      <c r="I72" s="2">
        <v>1.25</v>
      </c>
      <c r="J72" s="2">
        <v>1</v>
      </c>
      <c r="K72" s="2">
        <v>1.05</v>
      </c>
      <c r="L72" s="2">
        <f t="shared" si="23"/>
        <v>13.256250000000001</v>
      </c>
    </row>
    <row r="73" spans="4:12" ht="15">
      <c r="D73" s="2">
        <v>210</v>
      </c>
      <c r="E73" s="2" t="s">
        <v>66</v>
      </c>
      <c r="F73" s="2">
        <v>10.1</v>
      </c>
      <c r="G73" s="2">
        <v>1</v>
      </c>
      <c r="H73" s="2">
        <v>1</v>
      </c>
      <c r="I73" s="2">
        <v>1.25</v>
      </c>
      <c r="J73" s="2">
        <v>1</v>
      </c>
      <c r="K73" s="2">
        <v>1.05</v>
      </c>
      <c r="L73" s="2">
        <f t="shared" si="23"/>
        <v>13.256250000000001</v>
      </c>
    </row>
    <row r="74" spans="4:12" ht="15">
      <c r="D74" s="2">
        <v>212.5</v>
      </c>
      <c r="E74" s="2" t="s">
        <v>66</v>
      </c>
      <c r="F74" s="2">
        <v>10.1</v>
      </c>
      <c r="G74" s="2">
        <v>1</v>
      </c>
      <c r="H74" s="2">
        <v>1</v>
      </c>
      <c r="I74" s="2">
        <v>1.25</v>
      </c>
      <c r="J74" s="2">
        <v>1</v>
      </c>
      <c r="K74" s="2">
        <v>1.05</v>
      </c>
      <c r="L74" s="2">
        <f t="shared" si="23"/>
        <v>13.256250000000001</v>
      </c>
    </row>
    <row r="75" spans="4:12" ht="15">
      <c r="D75" s="2">
        <v>215</v>
      </c>
      <c r="E75" s="2" t="s">
        <v>68</v>
      </c>
      <c r="F75" s="2">
        <v>39.12</v>
      </c>
      <c r="G75" s="2">
        <v>1</v>
      </c>
      <c r="H75" s="2">
        <v>1</v>
      </c>
      <c r="I75" s="2">
        <v>1</v>
      </c>
      <c r="J75" s="2">
        <v>1</v>
      </c>
      <c r="K75" s="2">
        <v>1.05</v>
      </c>
      <c r="L75" s="2">
        <f t="shared" si="23"/>
        <v>41.076</v>
      </c>
    </row>
    <row r="76" spans="4:12" ht="15">
      <c r="D76" s="2">
        <v>217.5</v>
      </c>
      <c r="E76" s="2" t="s">
        <v>66</v>
      </c>
      <c r="F76" s="2">
        <v>10.1</v>
      </c>
      <c r="G76" s="2">
        <v>1</v>
      </c>
      <c r="H76" s="2">
        <v>1</v>
      </c>
      <c r="I76" s="2">
        <v>1</v>
      </c>
      <c r="J76" s="2">
        <v>1</v>
      </c>
      <c r="K76" s="2">
        <v>1.05</v>
      </c>
      <c r="L76" s="2">
        <f t="shared" si="23"/>
        <v>10.605</v>
      </c>
    </row>
    <row r="77" spans="4:12" ht="15">
      <c r="D77" s="2">
        <v>220</v>
      </c>
      <c r="E77" s="2" t="s">
        <v>66</v>
      </c>
      <c r="F77" s="2">
        <v>10.1</v>
      </c>
      <c r="G77" s="2">
        <v>1</v>
      </c>
      <c r="H77" s="2">
        <v>1</v>
      </c>
      <c r="I77" s="2">
        <v>1</v>
      </c>
      <c r="J77" s="2">
        <v>1</v>
      </c>
      <c r="K77" s="2">
        <v>1.05</v>
      </c>
      <c r="L77" s="2">
        <f t="shared" si="23"/>
        <v>10.605</v>
      </c>
    </row>
    <row r="78" spans="4:12" ht="15">
      <c r="D78" s="2">
        <v>222.5</v>
      </c>
      <c r="E78" s="2" t="s">
        <v>66</v>
      </c>
      <c r="F78" s="2">
        <v>10.1</v>
      </c>
      <c r="G78" s="2">
        <v>1</v>
      </c>
      <c r="H78" s="2">
        <v>1</v>
      </c>
      <c r="I78" s="2">
        <v>1</v>
      </c>
      <c r="J78" s="2">
        <v>1</v>
      </c>
      <c r="K78" s="2">
        <v>1.05</v>
      </c>
      <c r="L78" s="2">
        <f t="shared" si="23"/>
        <v>10.605</v>
      </c>
    </row>
    <row r="79" spans="4:12" ht="15">
      <c r="D79" s="2">
        <v>225</v>
      </c>
      <c r="E79" s="2" t="s">
        <v>67</v>
      </c>
      <c r="F79" s="2">
        <v>32.6</v>
      </c>
      <c r="G79" s="2">
        <v>1</v>
      </c>
      <c r="H79" s="2">
        <v>1</v>
      </c>
      <c r="I79" s="2">
        <v>1</v>
      </c>
      <c r="J79" s="2">
        <v>1</v>
      </c>
      <c r="K79" s="2">
        <v>1.05</v>
      </c>
      <c r="L79" s="2">
        <f t="shared" si="23"/>
        <v>34.230000000000004</v>
      </c>
    </row>
    <row r="80" spans="4:12" ht="15">
      <c r="D80" s="2">
        <v>227.5</v>
      </c>
      <c r="E80" s="2" t="s">
        <v>66</v>
      </c>
      <c r="F80" s="2">
        <v>10.1</v>
      </c>
      <c r="G80" s="2">
        <v>1</v>
      </c>
      <c r="H80" s="2">
        <v>1</v>
      </c>
      <c r="I80" s="2">
        <v>1</v>
      </c>
      <c r="J80" s="2">
        <v>1</v>
      </c>
      <c r="K80" s="2">
        <v>1.05</v>
      </c>
      <c r="L80" s="2">
        <f t="shared" si="23"/>
        <v>10.605</v>
      </c>
    </row>
    <row r="81" spans="4:12" ht="15">
      <c r="D81" s="2">
        <v>230</v>
      </c>
      <c r="E81" s="2" t="s">
        <v>69</v>
      </c>
      <c r="F81" s="2">
        <v>1723</v>
      </c>
      <c r="G81" s="2">
        <v>1</v>
      </c>
      <c r="H81" s="2">
        <v>1</v>
      </c>
      <c r="I81" s="2">
        <v>1</v>
      </c>
      <c r="J81" s="2">
        <v>1</v>
      </c>
      <c r="K81" s="2">
        <v>1.05</v>
      </c>
      <c r="L81" s="2">
        <f t="shared" si="23"/>
        <v>1809.15</v>
      </c>
    </row>
    <row r="82" spans="4:12" ht="15">
      <c r="D82" s="2">
        <v>232.5</v>
      </c>
      <c r="E82" s="2" t="s">
        <v>66</v>
      </c>
      <c r="F82" s="2">
        <v>10.1</v>
      </c>
      <c r="G82" s="2">
        <v>1</v>
      </c>
      <c r="H82" s="2">
        <v>1</v>
      </c>
      <c r="I82" s="2">
        <v>1</v>
      </c>
      <c r="J82" s="2">
        <v>1</v>
      </c>
      <c r="K82" s="2">
        <v>1.05</v>
      </c>
      <c r="L82" s="2">
        <f t="shared" si="23"/>
        <v>10.605</v>
      </c>
    </row>
    <row r="83" spans="4:12" ht="15">
      <c r="D83" s="2">
        <v>235</v>
      </c>
      <c r="E83" s="2" t="s">
        <v>66</v>
      </c>
      <c r="F83" s="2">
        <v>10.1</v>
      </c>
      <c r="G83" s="2">
        <v>1</v>
      </c>
      <c r="H83" s="2">
        <v>1</v>
      </c>
      <c r="I83" s="2">
        <v>1</v>
      </c>
      <c r="J83" s="2">
        <v>1</v>
      </c>
      <c r="K83" s="2">
        <v>1.05</v>
      </c>
      <c r="L83" s="2">
        <f t="shared" si="23"/>
        <v>10.605</v>
      </c>
    </row>
    <row r="84" spans="4:12" ht="15">
      <c r="D84" s="2">
        <v>237.5</v>
      </c>
      <c r="E84" s="2" t="s">
        <v>66</v>
      </c>
      <c r="F84" s="2">
        <v>10.1</v>
      </c>
      <c r="G84" s="2">
        <v>1</v>
      </c>
      <c r="H84" s="2">
        <v>1</v>
      </c>
      <c r="I84" s="2">
        <v>1</v>
      </c>
      <c r="J84" s="2">
        <v>1</v>
      </c>
      <c r="K84" s="2">
        <v>1.05</v>
      </c>
      <c r="L84" s="2">
        <f t="shared" si="23"/>
        <v>10.605</v>
      </c>
    </row>
    <row r="85" spans="4:12" ht="15">
      <c r="D85" s="2">
        <v>240</v>
      </c>
      <c r="E85" s="2" t="s">
        <v>68</v>
      </c>
      <c r="F85" s="2">
        <v>42.38</v>
      </c>
      <c r="G85" s="2">
        <v>1</v>
      </c>
      <c r="H85" s="2">
        <v>1</v>
      </c>
      <c r="I85" s="2">
        <v>1.25</v>
      </c>
      <c r="J85" s="2">
        <v>1</v>
      </c>
      <c r="K85" s="2">
        <v>1.05</v>
      </c>
      <c r="L85" s="2">
        <f t="shared" si="23"/>
        <v>55.62375</v>
      </c>
    </row>
    <row r="86" spans="4:12" ht="15">
      <c r="D86" s="2">
        <v>242.5</v>
      </c>
      <c r="E86" s="2" t="s">
        <v>66</v>
      </c>
      <c r="F86" s="2">
        <v>10.1</v>
      </c>
      <c r="G86" s="2">
        <v>1</v>
      </c>
      <c r="H86" s="2">
        <v>1</v>
      </c>
      <c r="I86" s="2">
        <v>1.25</v>
      </c>
      <c r="J86" s="2">
        <v>1</v>
      </c>
      <c r="K86" s="2">
        <v>1.05</v>
      </c>
      <c r="L86" s="2">
        <f t="shared" si="23"/>
        <v>13.256250000000001</v>
      </c>
    </row>
    <row r="87" spans="4:12" ht="15">
      <c r="D87" s="2">
        <v>245</v>
      </c>
      <c r="E87" s="2" t="s">
        <v>66</v>
      </c>
      <c r="F87" s="2">
        <v>10.1</v>
      </c>
      <c r="G87" s="2">
        <v>1</v>
      </c>
      <c r="H87" s="2">
        <v>1</v>
      </c>
      <c r="I87" s="2">
        <v>1.25</v>
      </c>
      <c r="J87" s="2">
        <v>1</v>
      </c>
      <c r="K87" s="2">
        <v>1.05</v>
      </c>
      <c r="L87" s="2">
        <f t="shared" si="23"/>
        <v>13.256250000000001</v>
      </c>
    </row>
    <row r="88" spans="4:12" ht="15">
      <c r="D88" s="2">
        <v>247.5</v>
      </c>
      <c r="E88" s="2" t="s">
        <v>66</v>
      </c>
      <c r="F88" s="2">
        <v>10.1</v>
      </c>
      <c r="G88" s="2">
        <v>1</v>
      </c>
      <c r="H88" s="2">
        <v>1</v>
      </c>
      <c r="I88" s="2">
        <v>1.25</v>
      </c>
      <c r="J88" s="2">
        <v>1</v>
      </c>
      <c r="K88" s="2">
        <v>1.05</v>
      </c>
      <c r="L88" s="2">
        <f t="shared" si="23"/>
        <v>13.256250000000001</v>
      </c>
    </row>
    <row r="92" spans="4:8" ht="15">
      <c r="D92" s="46" t="s">
        <v>70</v>
      </c>
      <c r="E92" s="44" t="s">
        <v>71</v>
      </c>
      <c r="F92" s="45"/>
      <c r="G92" s="44" t="s">
        <v>74</v>
      </c>
      <c r="H92" s="45"/>
    </row>
    <row r="93" spans="4:8" ht="15">
      <c r="D93" s="47"/>
      <c r="E93" s="17" t="s">
        <v>72</v>
      </c>
      <c r="F93" s="11" t="s">
        <v>73</v>
      </c>
      <c r="G93" s="17" t="s">
        <v>72</v>
      </c>
      <c r="H93" s="11" t="s">
        <v>73</v>
      </c>
    </row>
    <row r="94" spans="4:8" ht="15">
      <c r="D94" s="2" t="s">
        <v>69</v>
      </c>
      <c r="E94" s="2">
        <v>1</v>
      </c>
      <c r="F94" s="2">
        <f>E94*E37</f>
        <v>127</v>
      </c>
      <c r="G94" s="6">
        <f>L81</f>
        <v>1809.15</v>
      </c>
      <c r="H94" s="6">
        <f>G94*E37</f>
        <v>229762.05000000002</v>
      </c>
    </row>
    <row r="95" spans="4:8" ht="15">
      <c r="D95" s="2" t="s">
        <v>67</v>
      </c>
      <c r="E95" s="2">
        <v>4</v>
      </c>
      <c r="F95" s="2">
        <f>E95*E37</f>
        <v>508</v>
      </c>
      <c r="G95" s="6">
        <f>L71+L75+L79+L85</f>
        <v>173.71725</v>
      </c>
      <c r="H95" s="6">
        <f>G95*E37</f>
        <v>22062.09075</v>
      </c>
    </row>
    <row r="96" spans="4:8" ht="15">
      <c r="D96" s="2" t="s">
        <v>66</v>
      </c>
      <c r="E96" s="2">
        <v>15</v>
      </c>
      <c r="F96" s="2">
        <f>E96*E37</f>
        <v>1905</v>
      </c>
      <c r="G96" s="6">
        <f>L69+L70+L72+L73+L74+L76+L77+L78+L80+L82+L83+L84+L86+L87+L88</f>
        <v>180.285</v>
      </c>
      <c r="H96" s="6">
        <f>G96*E37</f>
        <v>22896.195</v>
      </c>
    </row>
    <row r="98" spans="4:9" ht="15">
      <c r="D98" s="32" t="s">
        <v>58</v>
      </c>
      <c r="E98" s="34" t="s">
        <v>77</v>
      </c>
      <c r="F98" s="34" t="s">
        <v>78</v>
      </c>
      <c r="G98" s="34" t="s">
        <v>79</v>
      </c>
      <c r="H98" s="35" t="s">
        <v>80</v>
      </c>
      <c r="I98" s="34" t="s">
        <v>81</v>
      </c>
    </row>
    <row r="99" spans="4:9" ht="15">
      <c r="D99" s="33"/>
      <c r="E99" s="34"/>
      <c r="F99" s="34"/>
      <c r="G99" s="34"/>
      <c r="H99" s="35"/>
      <c r="I99" s="34"/>
    </row>
    <row r="100" spans="4:9" ht="15">
      <c r="D100" s="2" t="s">
        <v>69</v>
      </c>
      <c r="E100" s="2">
        <v>127</v>
      </c>
      <c r="F100" s="2">
        <v>8</v>
      </c>
      <c r="G100" s="2">
        <f>E100*8*8</f>
        <v>8128</v>
      </c>
      <c r="H100" s="18">
        <f>E100*8*24</f>
        <v>24384</v>
      </c>
      <c r="I100" s="2">
        <f>ROUNDUP(E100*8*E34,0)</f>
        <v>12186</v>
      </c>
    </row>
    <row r="101" spans="4:9" ht="15">
      <c r="D101" s="2" t="s">
        <v>67</v>
      </c>
      <c r="E101" s="2">
        <v>508</v>
      </c>
      <c r="F101" s="2">
        <v>1</v>
      </c>
      <c r="G101" s="2">
        <f>E101*1*8</f>
        <v>4064</v>
      </c>
      <c r="H101" s="18">
        <f>E101*1*24</f>
        <v>12192</v>
      </c>
      <c r="I101" s="2">
        <f>E101*1*E34</f>
        <v>6092.701255222748</v>
      </c>
    </row>
    <row r="102" spans="4:9" ht="15">
      <c r="D102" s="2" t="s">
        <v>66</v>
      </c>
      <c r="E102" s="2">
        <v>1905</v>
      </c>
      <c r="F102" s="2">
        <v>2</v>
      </c>
      <c r="G102" s="2">
        <f>E102*2</f>
        <v>3810</v>
      </c>
      <c r="H102" s="18">
        <f>E102*2</f>
        <v>3810</v>
      </c>
      <c r="I102" s="2">
        <f>E102*2</f>
        <v>3810</v>
      </c>
    </row>
    <row r="103" ht="15">
      <c r="I103" s="22">
        <f>SUM(I100:I102)</f>
        <v>22088.701255222746</v>
      </c>
    </row>
    <row r="104" spans="4:13" ht="15">
      <c r="D104" s="17" t="s">
        <v>82</v>
      </c>
      <c r="E104" s="17">
        <f>I101/(24*E38)</f>
        <v>0.9994588673265663</v>
      </c>
      <c r="F104" s="17" t="s">
        <v>85</v>
      </c>
      <c r="G104" s="17">
        <v>2</v>
      </c>
      <c r="H104" s="17" t="s">
        <v>86</v>
      </c>
      <c r="I104" s="17">
        <v>1</v>
      </c>
      <c r="J104" s="17" t="s">
        <v>87</v>
      </c>
      <c r="K104" s="17">
        <f>$E$38*(E104-I104)</f>
        <v>-0.13744769905215914</v>
      </c>
      <c r="L104" s="17" t="s">
        <v>88</v>
      </c>
      <c r="M104" s="17">
        <f>$E$38*(G104-E104)</f>
        <v>254.13744769905216</v>
      </c>
    </row>
    <row r="105" spans="4:13" ht="15">
      <c r="D105" s="17" t="s">
        <v>83</v>
      </c>
      <c r="E105" s="17">
        <f>I102/(8*E38)</f>
        <v>1.875</v>
      </c>
      <c r="F105" s="17" t="s">
        <v>89</v>
      </c>
      <c r="G105" s="17">
        <v>2</v>
      </c>
      <c r="H105" s="17" t="s">
        <v>90</v>
      </c>
      <c r="I105" s="17">
        <v>1</v>
      </c>
      <c r="J105" s="17" t="s">
        <v>87</v>
      </c>
      <c r="K105" s="17">
        <f>$E$38*(E105-I105)</f>
        <v>222.25</v>
      </c>
      <c r="L105" s="17" t="s">
        <v>88</v>
      </c>
      <c r="M105" s="17">
        <f>$E$38*(G105-E105)</f>
        <v>31.75</v>
      </c>
    </row>
    <row r="106" spans="4:13" ht="15">
      <c r="D106" s="17" t="s">
        <v>84</v>
      </c>
      <c r="E106" s="17">
        <f>I100/(8*E38)</f>
        <v>5.997047244094488</v>
      </c>
      <c r="F106" s="17" t="s">
        <v>91</v>
      </c>
      <c r="G106" s="17">
        <v>7</v>
      </c>
      <c r="H106" s="17" t="s">
        <v>92</v>
      </c>
      <c r="I106" s="17">
        <v>6</v>
      </c>
      <c r="J106" s="17" t="s">
        <v>87</v>
      </c>
      <c r="K106" s="17">
        <f>$E$38*(E106-I106)</f>
        <v>-0.7500000000000551</v>
      </c>
      <c r="L106" s="17" t="s">
        <v>88</v>
      </c>
      <c r="M106" s="17">
        <f>$E$38*(G106-E106)</f>
        <v>254.75000000000006</v>
      </c>
    </row>
    <row r="108" spans="4:5" ht="15">
      <c r="D108" s="17" t="s">
        <v>93</v>
      </c>
      <c r="E108" s="17">
        <f>G104+G105+G106</f>
        <v>11</v>
      </c>
    </row>
    <row r="109" spans="4:5" ht="15">
      <c r="D109" s="17" t="s">
        <v>37</v>
      </c>
      <c r="E109" s="17">
        <f>ROUNDUP(1.1*E16+E108,0)</f>
        <v>123</v>
      </c>
    </row>
    <row r="110" spans="4:5" ht="15">
      <c r="D110" s="17" t="s">
        <v>95</v>
      </c>
      <c r="E110" s="23">
        <f>E16/E109</f>
        <v>0.8219418500852478</v>
      </c>
    </row>
    <row r="111" spans="4:5" ht="15">
      <c r="D111" s="17" t="s">
        <v>94</v>
      </c>
      <c r="E111" s="24">
        <f>365*E112*E109</f>
        <v>33299.74981429996</v>
      </c>
    </row>
    <row r="112" spans="4:5" ht="15">
      <c r="D112" s="17" t="s">
        <v>96</v>
      </c>
      <c r="E112" s="24">
        <f>(E16*E38+G16*E39)/(365*E109)</f>
        <v>0.7417251322931275</v>
      </c>
    </row>
    <row r="113" spans="4:5" ht="15">
      <c r="D113" s="17" t="s">
        <v>98</v>
      </c>
      <c r="E113" s="17">
        <f>E114*E109</f>
        <v>276.75</v>
      </c>
    </row>
    <row r="114" spans="4:5" ht="15">
      <c r="D114" s="17" t="s">
        <v>97</v>
      </c>
      <c r="E114" s="17">
        <v>2.25</v>
      </c>
    </row>
    <row r="115" spans="4:5" ht="15">
      <c r="D115" s="17" t="s">
        <v>99</v>
      </c>
      <c r="E115" s="17">
        <f>E113/E116</f>
        <v>30.75</v>
      </c>
    </row>
    <row r="116" spans="4:5" ht="15">
      <c r="D116" s="17" t="s">
        <v>100</v>
      </c>
      <c r="E116" s="17">
        <v>9</v>
      </c>
    </row>
    <row r="117" spans="4:5" ht="15">
      <c r="D117" s="17" t="s">
        <v>101</v>
      </c>
      <c r="E117" s="17">
        <f>ROUNDUP(E115/E118,0)</f>
        <v>4</v>
      </c>
    </row>
    <row r="118" spans="4:5" ht="15">
      <c r="D118" s="17" t="s">
        <v>102</v>
      </c>
      <c r="E118" s="17">
        <v>8</v>
      </c>
    </row>
    <row r="120" spans="3:18" ht="15">
      <c r="C120" s="54" t="s">
        <v>103</v>
      </c>
      <c r="D120" s="55"/>
      <c r="E120" s="54">
        <v>1</v>
      </c>
      <c r="F120" s="55"/>
      <c r="G120" s="54">
        <v>2</v>
      </c>
      <c r="H120" s="55"/>
      <c r="I120" s="54">
        <v>3</v>
      </c>
      <c r="J120" s="55"/>
      <c r="K120" s="54">
        <v>4</v>
      </c>
      <c r="L120" s="55"/>
      <c r="M120" s="54">
        <v>5</v>
      </c>
      <c r="N120" s="55"/>
      <c r="O120" s="54">
        <v>6</v>
      </c>
      <c r="P120" s="55"/>
      <c r="Q120" s="54">
        <v>7</v>
      </c>
      <c r="R120" s="55"/>
    </row>
    <row r="121" spans="3:18" ht="15">
      <c r="C121" s="54" t="s">
        <v>104</v>
      </c>
      <c r="D121" s="55"/>
      <c r="E121" s="11" t="s">
        <v>105</v>
      </c>
      <c r="F121" s="11" t="s">
        <v>106</v>
      </c>
      <c r="G121" s="11" t="s">
        <v>105</v>
      </c>
      <c r="H121" s="11" t="s">
        <v>106</v>
      </c>
      <c r="I121" s="11" t="s">
        <v>105</v>
      </c>
      <c r="J121" s="11" t="s">
        <v>106</v>
      </c>
      <c r="K121" s="11" t="s">
        <v>105</v>
      </c>
      <c r="L121" s="11" t="s">
        <v>106</v>
      </c>
      <c r="M121" s="11" t="s">
        <v>105</v>
      </c>
      <c r="N121" s="11" t="s">
        <v>106</v>
      </c>
      <c r="O121" s="11" t="s">
        <v>105</v>
      </c>
      <c r="P121" s="11" t="s">
        <v>106</v>
      </c>
      <c r="Q121" s="11" t="s">
        <v>105</v>
      </c>
      <c r="R121" s="11" t="s">
        <v>106</v>
      </c>
    </row>
    <row r="122" spans="3:18" ht="15">
      <c r="C122" s="51" t="s">
        <v>107</v>
      </c>
      <c r="D122" s="11">
        <v>1</v>
      </c>
      <c r="E122" s="11"/>
      <c r="F122" s="11" t="s">
        <v>110</v>
      </c>
      <c r="G122" s="11"/>
      <c r="H122" s="11"/>
      <c r="I122" s="11" t="s">
        <v>109</v>
      </c>
      <c r="J122" s="11"/>
      <c r="K122" s="11"/>
      <c r="L122" s="11"/>
      <c r="M122" s="11" t="s">
        <v>108</v>
      </c>
      <c r="N122" s="11"/>
      <c r="O122" s="11"/>
      <c r="P122" s="11"/>
      <c r="Q122" s="11" t="s">
        <v>108</v>
      </c>
      <c r="R122" s="11"/>
    </row>
    <row r="123" spans="3:18" ht="15">
      <c r="C123" s="52"/>
      <c r="D123" s="11">
        <v>2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3:18" ht="15">
      <c r="C124" s="52"/>
      <c r="D124" s="11">
        <v>3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3:18" ht="15">
      <c r="C125" s="53"/>
      <c r="D125" s="11">
        <v>4</v>
      </c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8" spans="7:9" ht="15">
      <c r="G128" s="26" t="s">
        <v>111</v>
      </c>
      <c r="H128" s="26">
        <f>ROUND(E109*E110*1.7,0)</f>
        <v>172</v>
      </c>
      <c r="I128" t="s">
        <v>112</v>
      </c>
    </row>
    <row r="129" spans="7:9" ht="15">
      <c r="G129" s="26" t="s">
        <v>113</v>
      </c>
      <c r="H129" s="26">
        <f>ROUNDUP(H128*H130,0)</f>
        <v>190</v>
      </c>
      <c r="I129" t="s">
        <v>112</v>
      </c>
    </row>
    <row r="130" spans="7:8" ht="15">
      <c r="G130" s="26" t="s">
        <v>114</v>
      </c>
      <c r="H130" s="26">
        <f>ROUND((1+(24/365))*H131,1)</f>
        <v>1.1</v>
      </c>
    </row>
    <row r="131" spans="7:8" ht="15">
      <c r="G131" s="26" t="s">
        <v>115</v>
      </c>
      <c r="H131" s="26">
        <v>1.04</v>
      </c>
    </row>
    <row r="132" spans="7:12" ht="15">
      <c r="G132" s="56" t="s">
        <v>116</v>
      </c>
      <c r="H132" s="56"/>
      <c r="I132" s="56"/>
      <c r="J132" s="56"/>
      <c r="K132" s="56"/>
      <c r="L132" s="56"/>
    </row>
    <row r="133" spans="7:8" ht="15">
      <c r="G133" s="26" t="s">
        <v>117</v>
      </c>
      <c r="H133" s="26">
        <f>H129/50</f>
        <v>3.8</v>
      </c>
    </row>
    <row r="134" spans="7:9" ht="15">
      <c r="G134" s="26" t="s">
        <v>118</v>
      </c>
      <c r="H134" s="26">
        <f>ROUNDUP(H94/H137,0)</f>
        <v>121</v>
      </c>
      <c r="I134" t="s">
        <v>112</v>
      </c>
    </row>
    <row r="135" spans="7:13" ht="15">
      <c r="G135" s="26" t="s">
        <v>119</v>
      </c>
      <c r="H135" s="26">
        <f>ROUNDUP(H95/H137,0)</f>
        <v>12</v>
      </c>
      <c r="I135" t="s">
        <v>112</v>
      </c>
      <c r="M135" s="27"/>
    </row>
    <row r="136" spans="7:9" ht="15">
      <c r="G136" s="26" t="s">
        <v>120</v>
      </c>
      <c r="H136" s="26">
        <f>ROUNDUP(H96/H137,0)</f>
        <v>13</v>
      </c>
      <c r="I136" t="s">
        <v>112</v>
      </c>
    </row>
    <row r="137" spans="7:9" ht="15">
      <c r="G137" s="26" t="s">
        <v>121</v>
      </c>
      <c r="H137" s="26">
        <f>ROUNDUP((E38*H138+H140*H139)/H130,0)</f>
        <v>1905</v>
      </c>
      <c r="I137" t="s">
        <v>122</v>
      </c>
    </row>
    <row r="138" spans="7:8" ht="15">
      <c r="G138" s="26" t="s">
        <v>123</v>
      </c>
      <c r="H138" s="26">
        <v>8</v>
      </c>
    </row>
    <row r="139" spans="7:8" ht="15">
      <c r="G139" s="26" t="s">
        <v>124</v>
      </c>
      <c r="H139" s="26">
        <v>7</v>
      </c>
    </row>
    <row r="140" spans="7:8" ht="15">
      <c r="G140" s="26" t="s">
        <v>125</v>
      </c>
      <c r="H140" s="26">
        <v>9</v>
      </c>
    </row>
    <row r="141" spans="7:9" ht="15">
      <c r="G141" s="26" t="s">
        <v>126</v>
      </c>
      <c r="H141" s="26">
        <f>H140*E116</f>
        <v>81</v>
      </c>
      <c r="I141" t="s">
        <v>112</v>
      </c>
    </row>
    <row r="142" spans="7:9" ht="15">
      <c r="G142" s="28" t="s">
        <v>127</v>
      </c>
      <c r="H142" s="28">
        <v>4</v>
      </c>
      <c r="I142" t="s">
        <v>128</v>
      </c>
    </row>
    <row r="143" spans="7:9" ht="15">
      <c r="G143" s="26" t="s">
        <v>129</v>
      </c>
      <c r="H143" s="26">
        <f>ROUNDUP((H134+H135+H136)*H144,0)</f>
        <v>37</v>
      </c>
      <c r="I143" t="s">
        <v>112</v>
      </c>
    </row>
    <row r="144" spans="7:8" ht="15">
      <c r="G144" s="2" t="s">
        <v>130</v>
      </c>
      <c r="H144" s="2">
        <v>0.25</v>
      </c>
    </row>
    <row r="147" spans="5:11" ht="15">
      <c r="E147" s="56" t="s">
        <v>131</v>
      </c>
      <c r="F147" s="56"/>
      <c r="G147" s="56"/>
      <c r="H147" s="56"/>
      <c r="I147" s="56"/>
      <c r="J147" s="56"/>
      <c r="K147" s="56"/>
    </row>
    <row r="148" spans="7:9" ht="15">
      <c r="G148" s="26" t="s">
        <v>132</v>
      </c>
      <c r="H148" s="26">
        <f>540/40</f>
        <v>13.5</v>
      </c>
      <c r="I148" t="s">
        <v>133</v>
      </c>
    </row>
    <row r="149" spans="7:8" ht="15">
      <c r="G149" s="26" t="s">
        <v>134</v>
      </c>
      <c r="H149" s="26">
        <f>ROUND(E109*E112,2)</f>
        <v>91.23</v>
      </c>
    </row>
    <row r="150" spans="7:9" ht="15">
      <c r="G150" s="26" t="s">
        <v>135</v>
      </c>
      <c r="H150" s="26">
        <f>ROUND(H149/H148,2)</f>
        <v>6.76</v>
      </c>
      <c r="I150" t="s">
        <v>136</v>
      </c>
    </row>
    <row r="151" spans="7:8" ht="15">
      <c r="G151" s="26" t="s">
        <v>137</v>
      </c>
      <c r="H151" s="26">
        <f>ROUNDUP((H149*H152*H153)/H154,0)</f>
        <v>1</v>
      </c>
    </row>
    <row r="152" spans="7:8" ht="15">
      <c r="G152" s="26" t="s">
        <v>138</v>
      </c>
      <c r="H152" s="26">
        <v>0.02</v>
      </c>
    </row>
    <row r="153" spans="7:8" ht="15">
      <c r="G153" s="26" t="s">
        <v>139</v>
      </c>
      <c r="H153" s="26">
        <v>120</v>
      </c>
    </row>
    <row r="154" spans="7:8" ht="15">
      <c r="G154" s="26" t="s">
        <v>140</v>
      </c>
      <c r="H154" s="26">
        <v>480</v>
      </c>
    </row>
    <row r="155" spans="7:8" ht="15">
      <c r="G155" s="26" t="s">
        <v>141</v>
      </c>
      <c r="H155" s="26">
        <f>ROUNDUP(H151/3,0)</f>
        <v>1</v>
      </c>
    </row>
    <row r="156" spans="7:9" ht="15">
      <c r="G156" s="26" t="s">
        <v>142</v>
      </c>
      <c r="H156" s="26">
        <f>ROUNDUP(2*H157+2*H158+2*H159+H162*H160+(H162-1)*H161,0)</f>
        <v>110</v>
      </c>
      <c r="I156" t="s">
        <v>143</v>
      </c>
    </row>
    <row r="157" spans="7:9" ht="15">
      <c r="G157" s="26" t="s">
        <v>144</v>
      </c>
      <c r="H157" s="26">
        <v>2</v>
      </c>
      <c r="I157" t="s">
        <v>143</v>
      </c>
    </row>
    <row r="158" spans="7:9" ht="15">
      <c r="G158" s="26" t="s">
        <v>145</v>
      </c>
      <c r="H158" s="26">
        <v>1.25</v>
      </c>
      <c r="I158" t="s">
        <v>143</v>
      </c>
    </row>
    <row r="159" spans="7:9" ht="15">
      <c r="G159" s="26" t="s">
        <v>146</v>
      </c>
      <c r="H159" s="26">
        <v>0.5</v>
      </c>
      <c r="I159" t="s">
        <v>143</v>
      </c>
    </row>
    <row r="160" spans="7:9" ht="15">
      <c r="G160" s="26" t="s">
        <v>147</v>
      </c>
      <c r="H160" s="26">
        <v>11.83</v>
      </c>
      <c r="I160" t="s">
        <v>143</v>
      </c>
    </row>
    <row r="161" spans="7:9" ht="15">
      <c r="G161" s="26" t="s">
        <v>148</v>
      </c>
      <c r="H161" s="26">
        <v>1</v>
      </c>
      <c r="I161" t="s">
        <v>143</v>
      </c>
    </row>
    <row r="162" spans="7:8" ht="15">
      <c r="G162" s="26" t="s">
        <v>149</v>
      </c>
      <c r="H162" s="26">
        <v>8</v>
      </c>
    </row>
    <row r="166" spans="6:10" ht="15">
      <c r="F166" s="56" t="s">
        <v>150</v>
      </c>
      <c r="G166" s="56"/>
      <c r="H166" s="56"/>
      <c r="I166" s="56"/>
      <c r="J166" s="56"/>
    </row>
    <row r="167" spans="7:9" ht="15">
      <c r="G167" s="26" t="s">
        <v>151</v>
      </c>
      <c r="H167" s="26">
        <f>ROUNDUP((H168*H171)/E38,0)</f>
        <v>2</v>
      </c>
      <c r="I167" t="s">
        <v>152</v>
      </c>
    </row>
    <row r="168" spans="7:8" ht="15">
      <c r="G168" s="26" t="s">
        <v>153</v>
      </c>
      <c r="H168" s="26">
        <v>3</v>
      </c>
    </row>
    <row r="169" spans="7:8" ht="15">
      <c r="G169" s="26" t="s">
        <v>154</v>
      </c>
      <c r="H169" s="26">
        <v>8</v>
      </c>
    </row>
    <row r="170" spans="7:8" ht="15">
      <c r="G170" s="26" t="s">
        <v>153</v>
      </c>
      <c r="H170" s="26">
        <v>3</v>
      </c>
    </row>
    <row r="171" spans="7:8" ht="15">
      <c r="G171" s="26" t="s">
        <v>155</v>
      </c>
      <c r="H171" s="26">
        <v>94</v>
      </c>
    </row>
    <row r="172" spans="7:9" ht="15">
      <c r="G172" s="26" t="s">
        <v>156</v>
      </c>
      <c r="H172" s="26">
        <f>ROUNDUP(((H169-H170)*H171)/E38,0)</f>
        <v>2</v>
      </c>
      <c r="I172" t="s">
        <v>152</v>
      </c>
    </row>
    <row r="173" spans="7:9" ht="15">
      <c r="G173" s="26" t="s">
        <v>157</v>
      </c>
      <c r="H173" s="26">
        <f>ROUNDUP(H134+H135+H136,0)</f>
        <v>146</v>
      </c>
      <c r="I173" t="s">
        <v>112</v>
      </c>
    </row>
    <row r="178" spans="5:10" ht="15">
      <c r="E178" s="56" t="s">
        <v>158</v>
      </c>
      <c r="F178" s="56"/>
      <c r="G178" s="56"/>
      <c r="H178" s="56"/>
      <c r="I178" s="56"/>
      <c r="J178" s="56"/>
    </row>
    <row r="180" spans="4:9" ht="15">
      <c r="D180" s="57" t="s">
        <v>159</v>
      </c>
      <c r="E180" s="57"/>
      <c r="F180" s="58" t="s">
        <v>160</v>
      </c>
      <c r="G180" s="59" t="s">
        <v>161</v>
      </c>
      <c r="H180" s="59"/>
      <c r="I180" s="58" t="s">
        <v>162</v>
      </c>
    </row>
    <row r="181" spans="4:9" ht="15">
      <c r="D181" s="57"/>
      <c r="E181" s="57"/>
      <c r="F181" s="58"/>
      <c r="G181" s="29" t="s">
        <v>163</v>
      </c>
      <c r="H181" s="29" t="s">
        <v>164</v>
      </c>
      <c r="I181" s="58"/>
    </row>
    <row r="182" spans="4:9" ht="15">
      <c r="D182" s="60" t="s">
        <v>165</v>
      </c>
      <c r="E182" s="60"/>
      <c r="F182" s="2">
        <v>18</v>
      </c>
      <c r="G182" s="2">
        <v>25</v>
      </c>
      <c r="H182" s="2">
        <v>10</v>
      </c>
      <c r="I182" s="2">
        <f>G182+H182*(F182-1)</f>
        <v>195</v>
      </c>
    </row>
    <row r="183" spans="4:9" ht="15">
      <c r="D183" s="60" t="s">
        <v>166</v>
      </c>
      <c r="E183" s="60"/>
      <c r="F183" s="2">
        <v>18</v>
      </c>
      <c r="G183" s="2">
        <v>20</v>
      </c>
      <c r="H183" s="2">
        <v>10</v>
      </c>
      <c r="I183" s="2">
        <f aca="true" t="shared" si="24" ref="I183:I191">G183+H183*(F183-1)</f>
        <v>190</v>
      </c>
    </row>
    <row r="184" spans="4:9" ht="15">
      <c r="D184" s="60" t="s">
        <v>167</v>
      </c>
      <c r="E184" s="60"/>
      <c r="F184" s="2">
        <v>9</v>
      </c>
      <c r="G184" s="2">
        <v>30</v>
      </c>
      <c r="H184" s="2">
        <v>15</v>
      </c>
      <c r="I184" s="2">
        <f t="shared" si="24"/>
        <v>150</v>
      </c>
    </row>
    <row r="185" spans="4:9" ht="15">
      <c r="D185" s="60" t="s">
        <v>168</v>
      </c>
      <c r="E185" s="60"/>
      <c r="F185" s="2">
        <v>8</v>
      </c>
      <c r="G185" s="2">
        <v>15</v>
      </c>
      <c r="H185" s="2">
        <v>10</v>
      </c>
      <c r="I185" s="2">
        <f t="shared" si="24"/>
        <v>85</v>
      </c>
    </row>
    <row r="186" spans="4:9" ht="15">
      <c r="D186" s="61" t="s">
        <v>169</v>
      </c>
      <c r="E186" s="62"/>
      <c r="F186" s="2">
        <v>7</v>
      </c>
      <c r="G186" s="2">
        <v>20</v>
      </c>
      <c r="H186" s="2">
        <v>10</v>
      </c>
      <c r="I186" s="2">
        <f t="shared" si="24"/>
        <v>80</v>
      </c>
    </row>
    <row r="187" spans="4:9" ht="15">
      <c r="D187" s="61" t="s">
        <v>170</v>
      </c>
      <c r="E187" s="62"/>
      <c r="F187" s="2">
        <v>5</v>
      </c>
      <c r="G187" s="2">
        <v>20</v>
      </c>
      <c r="H187" s="2">
        <v>10</v>
      </c>
      <c r="I187" s="2">
        <f t="shared" si="24"/>
        <v>60</v>
      </c>
    </row>
    <row r="188" spans="4:9" ht="15">
      <c r="D188" s="61" t="s">
        <v>171</v>
      </c>
      <c r="E188" s="62"/>
      <c r="F188" s="2">
        <v>48</v>
      </c>
      <c r="G188" s="2">
        <v>20</v>
      </c>
      <c r="H188" s="2">
        <v>8</v>
      </c>
      <c r="I188" s="2">
        <f t="shared" si="24"/>
        <v>396</v>
      </c>
    </row>
    <row r="189" spans="4:9" ht="15">
      <c r="D189" s="61" t="s">
        <v>172</v>
      </c>
      <c r="E189" s="62"/>
      <c r="F189" s="2">
        <v>22</v>
      </c>
      <c r="G189" s="2">
        <v>25</v>
      </c>
      <c r="H189" s="2">
        <v>10</v>
      </c>
      <c r="I189" s="2">
        <f t="shared" si="24"/>
        <v>235</v>
      </c>
    </row>
    <row r="190" spans="4:9" ht="15">
      <c r="D190" s="61" t="s">
        <v>173</v>
      </c>
      <c r="E190" s="62"/>
      <c r="F190" s="2">
        <v>5</v>
      </c>
      <c r="G190" s="2">
        <v>25</v>
      </c>
      <c r="H190" s="2">
        <v>12</v>
      </c>
      <c r="I190" s="2">
        <f t="shared" si="24"/>
        <v>73</v>
      </c>
    </row>
    <row r="191" spans="4:9" ht="15">
      <c r="D191" s="61" t="s">
        <v>174</v>
      </c>
      <c r="E191" s="62"/>
      <c r="F191" s="2">
        <v>6</v>
      </c>
      <c r="G191" s="2">
        <v>25</v>
      </c>
      <c r="H191" s="2">
        <v>10</v>
      </c>
      <c r="I191" s="2">
        <f t="shared" si="24"/>
        <v>75</v>
      </c>
    </row>
    <row r="192" ht="15">
      <c r="F192" s="2">
        <f>SUM(F182:F191)</f>
        <v>146</v>
      </c>
    </row>
    <row r="193" spans="4:13" ht="15">
      <c r="D193" s="63" t="s">
        <v>175</v>
      </c>
      <c r="E193" s="63"/>
      <c r="F193" s="63"/>
      <c r="G193" s="63"/>
      <c r="H193" s="63"/>
      <c r="I193" s="63"/>
      <c r="J193" s="63"/>
      <c r="K193" s="63"/>
      <c r="L193" s="63"/>
      <c r="M193" s="63"/>
    </row>
    <row r="194" spans="7:8" ht="15">
      <c r="G194" s="2" t="s">
        <v>176</v>
      </c>
      <c r="H194" s="2">
        <f>E109*H195</f>
        <v>7.38</v>
      </c>
    </row>
    <row r="195" spans="7:8" ht="15">
      <c r="G195" s="2" t="s">
        <v>177</v>
      </c>
      <c r="H195" s="2">
        <v>0.06</v>
      </c>
    </row>
    <row r="196" spans="7:8" ht="15">
      <c r="G196" s="2" t="s">
        <v>178</v>
      </c>
      <c r="H196" s="2">
        <f>ROUNDUP(H194/H197,0)+1</f>
        <v>3</v>
      </c>
    </row>
    <row r="197" spans="7:8" ht="15">
      <c r="G197" s="2" t="s">
        <v>179</v>
      </c>
      <c r="H197" s="2">
        <v>5</v>
      </c>
    </row>
    <row r="198" spans="7:9" ht="15">
      <c r="G198" s="2" t="s">
        <v>180</v>
      </c>
      <c r="H198" s="2">
        <f>H196*H199</f>
        <v>45</v>
      </c>
      <c r="I198" t="s">
        <v>181</v>
      </c>
    </row>
    <row r="199" spans="7:8" ht="15">
      <c r="G199" s="2" t="s">
        <v>182</v>
      </c>
      <c r="H199" s="2">
        <v>15</v>
      </c>
    </row>
    <row r="200" spans="5:9" ht="15">
      <c r="E200" s="63" t="s">
        <v>183</v>
      </c>
      <c r="F200" s="63"/>
      <c r="G200" s="63"/>
      <c r="H200" s="63"/>
      <c r="I200" s="63"/>
    </row>
    <row r="201" spans="7:8" ht="15">
      <c r="G201" s="30" t="s">
        <v>184</v>
      </c>
      <c r="H201" s="2">
        <f>E109*H202</f>
        <v>307.5</v>
      </c>
    </row>
    <row r="202" spans="7:8" ht="15">
      <c r="G202" s="30" t="s">
        <v>185</v>
      </c>
      <c r="H202" s="2">
        <v>2.5</v>
      </c>
    </row>
    <row r="203" spans="7:8" ht="15">
      <c r="G203" s="30" t="s">
        <v>186</v>
      </c>
      <c r="H203" s="2">
        <f>ROUNDUP(H201/250,0)+1</f>
        <v>3</v>
      </c>
    </row>
    <row r="204" spans="7:9" ht="15">
      <c r="G204" s="30" t="s">
        <v>187</v>
      </c>
      <c r="H204" s="2">
        <f>H203*H205</f>
        <v>108</v>
      </c>
      <c r="I204" t="s">
        <v>181</v>
      </c>
    </row>
    <row r="205" spans="7:8" ht="15">
      <c r="G205" s="30" t="s">
        <v>188</v>
      </c>
      <c r="H205" s="2">
        <v>36</v>
      </c>
    </row>
    <row r="207" spans="4:10" ht="15">
      <c r="D207" s="63" t="s">
        <v>189</v>
      </c>
      <c r="E207" s="63"/>
      <c r="F207" s="63"/>
      <c r="G207" s="63"/>
      <c r="H207" s="63"/>
      <c r="I207" s="63"/>
      <c r="J207" s="63"/>
    </row>
    <row r="208" spans="7:9" ht="15">
      <c r="G208" s="2" t="s">
        <v>190</v>
      </c>
      <c r="H208" s="2">
        <f>E109*H209</f>
        <v>24.6</v>
      </c>
      <c r="I208" t="s">
        <v>181</v>
      </c>
    </row>
    <row r="209" spans="7:8" ht="15">
      <c r="G209" s="2" t="s">
        <v>191</v>
      </c>
      <c r="H209" s="2">
        <v>0.2</v>
      </c>
    </row>
    <row r="211" spans="4:10" ht="15">
      <c r="D211" s="64" t="s">
        <v>192</v>
      </c>
      <c r="E211" s="64"/>
      <c r="F211" s="64"/>
      <c r="G211" s="64"/>
      <c r="H211" s="64"/>
      <c r="I211" s="64"/>
      <c r="J211" s="64"/>
    </row>
    <row r="212" spans="7:9" ht="15">
      <c r="G212" s="2" t="s">
        <v>193</v>
      </c>
      <c r="H212" s="2">
        <f>E109*H213</f>
        <v>123</v>
      </c>
      <c r="I212" t="s">
        <v>181</v>
      </c>
    </row>
    <row r="213" spans="7:8" ht="15">
      <c r="G213" s="2" t="s">
        <v>194</v>
      </c>
      <c r="H213" s="2">
        <v>1</v>
      </c>
    </row>
    <row r="214" spans="4:9" ht="15">
      <c r="D214" s="63" t="s">
        <v>195</v>
      </c>
      <c r="E214" s="63"/>
      <c r="F214" s="63"/>
      <c r="G214" s="63"/>
      <c r="H214" s="63"/>
      <c r="I214" s="63"/>
    </row>
    <row r="215" spans="7:9" ht="15">
      <c r="G215" s="2" t="s">
        <v>196</v>
      </c>
      <c r="H215" s="2">
        <f>H216*H217+H218</f>
        <v>185</v>
      </c>
      <c r="I215" t="s">
        <v>181</v>
      </c>
    </row>
    <row r="216" spans="7:8" ht="15">
      <c r="G216" s="2" t="s">
        <v>197</v>
      </c>
      <c r="H216" s="2">
        <v>3</v>
      </c>
    </row>
    <row r="217" spans="7:8" ht="15">
      <c r="G217" s="2" t="s">
        <v>198</v>
      </c>
      <c r="H217" s="2">
        <v>45</v>
      </c>
    </row>
    <row r="218" spans="7:8" ht="15">
      <c r="G218" s="2" t="s">
        <v>199</v>
      </c>
      <c r="H218" s="2">
        <v>50</v>
      </c>
    </row>
    <row r="219" spans="4:9" ht="15">
      <c r="D219" s="63" t="s">
        <v>200</v>
      </c>
      <c r="E219" s="63"/>
      <c r="F219" s="63"/>
      <c r="G219" s="63"/>
      <c r="H219" s="63"/>
      <c r="I219" s="63"/>
    </row>
    <row r="220" spans="7:8" ht="15">
      <c r="G220" s="2" t="s">
        <v>201</v>
      </c>
      <c r="H220" s="2">
        <f>H221*E109*H222</f>
        <v>40202594.0163438</v>
      </c>
    </row>
    <row r="221" spans="7:8" ht="15">
      <c r="G221" s="2" t="s">
        <v>202</v>
      </c>
      <c r="H221" s="6">
        <f>E65</f>
        <v>54475.05964274227</v>
      </c>
    </row>
    <row r="222" spans="7:8" ht="15">
      <c r="G222" s="2" t="s">
        <v>102</v>
      </c>
      <c r="H222" s="2">
        <v>6</v>
      </c>
    </row>
    <row r="223" spans="7:8" ht="15">
      <c r="G223" s="2" t="s">
        <v>203</v>
      </c>
      <c r="H223" s="2">
        <v>85000</v>
      </c>
    </row>
    <row r="224" spans="7:8" ht="15">
      <c r="G224" s="2" t="s">
        <v>204</v>
      </c>
      <c r="H224" s="2">
        <f>ROUNDUP(H220/(12*H223),0)</f>
        <v>40</v>
      </c>
    </row>
    <row r="225" spans="7:8" ht="15">
      <c r="G225" s="2" t="s">
        <v>205</v>
      </c>
      <c r="H225" s="2">
        <f>2*H224</f>
        <v>80</v>
      </c>
    </row>
    <row r="226" spans="7:8" ht="15">
      <c r="G226" s="2" t="s">
        <v>206</v>
      </c>
      <c r="H226" s="2">
        <v>20</v>
      </c>
    </row>
    <row r="227" spans="7:8" ht="15">
      <c r="G227" s="2" t="s">
        <v>207</v>
      </c>
      <c r="H227" s="2">
        <f>ROUNDUP(H225/H226,0)</f>
        <v>4</v>
      </c>
    </row>
    <row r="228" spans="7:8" ht="15">
      <c r="G228" s="2" t="s">
        <v>208</v>
      </c>
      <c r="H228" s="2">
        <f>ROUNDUP(H225/H229,0)</f>
        <v>6</v>
      </c>
    </row>
    <row r="229" spans="7:8" ht="15">
      <c r="G229" s="2" t="s">
        <v>62</v>
      </c>
      <c r="H229" s="2">
        <v>15</v>
      </c>
    </row>
    <row r="230" spans="7:9" ht="15">
      <c r="G230" s="2" t="s">
        <v>193</v>
      </c>
      <c r="H230" s="2">
        <f>H227*H231+H228*H232</f>
        <v>18</v>
      </c>
      <c r="I230" t="s">
        <v>181</v>
      </c>
    </row>
    <row r="231" spans="7:12" ht="15">
      <c r="G231" s="2" t="s">
        <v>209</v>
      </c>
      <c r="H231" s="2">
        <v>3</v>
      </c>
      <c r="L231" s="31"/>
    </row>
    <row r="232" spans="7:8" ht="15">
      <c r="G232" s="2" t="s">
        <v>210</v>
      </c>
      <c r="H232" s="2">
        <v>1</v>
      </c>
    </row>
    <row r="233" spans="4:10" ht="15">
      <c r="D233" s="65" t="s">
        <v>211</v>
      </c>
      <c r="E233" s="65"/>
      <c r="F233" s="65"/>
      <c r="G233" s="65"/>
      <c r="H233" s="65"/>
      <c r="I233" s="65"/>
      <c r="J233" s="65"/>
    </row>
    <row r="234" spans="7:8" ht="15">
      <c r="G234" s="2" t="s">
        <v>212</v>
      </c>
      <c r="H234" s="2">
        <f>H236*H237</f>
        <v>24</v>
      </c>
    </row>
    <row r="235" spans="7:8" ht="15">
      <c r="G235" s="2" t="s">
        <v>213</v>
      </c>
      <c r="H235" s="2">
        <v>8</v>
      </c>
    </row>
    <row r="236" spans="7:8" ht="15">
      <c r="G236" s="2" t="s">
        <v>214</v>
      </c>
      <c r="H236" s="2">
        <v>3</v>
      </c>
    </row>
    <row r="237" spans="7:8" ht="15">
      <c r="G237" s="2" t="s">
        <v>102</v>
      </c>
      <c r="H237" s="2">
        <v>8</v>
      </c>
    </row>
    <row r="238" spans="7:8" ht="15">
      <c r="G238" s="2" t="s">
        <v>215</v>
      </c>
      <c r="H238" s="2">
        <f>H234+0.25*H235</f>
        <v>26</v>
      </c>
    </row>
    <row r="239" spans="7:9" ht="15">
      <c r="G239" s="2" t="s">
        <v>216</v>
      </c>
      <c r="H239" s="2">
        <f>H240*H238</f>
        <v>26</v>
      </c>
      <c r="I239" t="s">
        <v>181</v>
      </c>
    </row>
    <row r="240" spans="7:8" ht="15">
      <c r="G240" s="2" t="s">
        <v>217</v>
      </c>
      <c r="H240" s="2">
        <v>1</v>
      </c>
    </row>
    <row r="241" spans="4:9" ht="15">
      <c r="D241" s="56" t="s">
        <v>218</v>
      </c>
      <c r="E241" s="56"/>
      <c r="F241" s="56"/>
      <c r="G241" s="56"/>
      <c r="H241" s="56"/>
      <c r="I241" s="56"/>
    </row>
    <row r="242" spans="7:9" ht="15">
      <c r="G242" s="2" t="s">
        <v>219</v>
      </c>
      <c r="H242" s="2">
        <f>0.7*H245*H244</f>
        <v>51.099999999999994</v>
      </c>
      <c r="I242" t="s">
        <v>181</v>
      </c>
    </row>
    <row r="243" spans="7:9" ht="15">
      <c r="G243" s="2" t="s">
        <v>220</v>
      </c>
      <c r="H243" s="2">
        <f>0.3*H245*H244</f>
        <v>21.9</v>
      </c>
      <c r="I243" t="s">
        <v>181</v>
      </c>
    </row>
    <row r="244" spans="7:8" ht="15">
      <c r="G244" s="2" t="s">
        <v>221</v>
      </c>
      <c r="H244" s="2">
        <f>SUM(F182:F191)</f>
        <v>146</v>
      </c>
    </row>
    <row r="245" spans="7:8" ht="15">
      <c r="G245" s="2" t="s">
        <v>222</v>
      </c>
      <c r="H245" s="2">
        <v>0.5</v>
      </c>
    </row>
    <row r="246" spans="4:9" ht="15">
      <c r="D246" s="56" t="s">
        <v>223</v>
      </c>
      <c r="E246" s="56"/>
      <c r="F246" s="56"/>
      <c r="G246" s="56"/>
      <c r="H246" s="56"/>
      <c r="I246" s="56"/>
    </row>
    <row r="247" spans="7:9" ht="15">
      <c r="G247" s="2" t="s">
        <v>224</v>
      </c>
      <c r="H247" s="2">
        <f>ROUNDUP((0.7*H249*H244)/7,0)</f>
        <v>66</v>
      </c>
      <c r="I247" t="s">
        <v>181</v>
      </c>
    </row>
    <row r="248" spans="7:9" ht="15">
      <c r="G248" s="2" t="s">
        <v>225</v>
      </c>
      <c r="H248" s="2">
        <f>ROUNDUP((0.3*H249*H244)/7,0)</f>
        <v>29</v>
      </c>
      <c r="I248" t="s">
        <v>181</v>
      </c>
    </row>
    <row r="249" spans="7:8" ht="15">
      <c r="G249" s="2" t="s">
        <v>226</v>
      </c>
      <c r="H249" s="2">
        <v>4.5</v>
      </c>
    </row>
    <row r="250" spans="4:9" ht="15">
      <c r="D250" s="56" t="s">
        <v>227</v>
      </c>
      <c r="E250" s="56"/>
      <c r="F250" s="56"/>
      <c r="G250" s="56"/>
      <c r="H250" s="56"/>
      <c r="I250" s="56"/>
    </row>
    <row r="251" spans="7:8" ht="15">
      <c r="G251" s="2" t="s">
        <v>228</v>
      </c>
      <c r="H251" s="2">
        <f>ROUNDUP((0.7*H253*H244)/10,0)</f>
        <v>26</v>
      </c>
    </row>
    <row r="252" spans="7:8" ht="15">
      <c r="G252" s="2" t="s">
        <v>229</v>
      </c>
      <c r="H252" s="2">
        <f>ROUNDUP((0.3*H253*H244)/10,0)</f>
        <v>11</v>
      </c>
    </row>
    <row r="253" spans="7:8" ht="15">
      <c r="G253" s="2" t="s">
        <v>230</v>
      </c>
      <c r="H253" s="2">
        <v>2.5</v>
      </c>
    </row>
    <row r="254" spans="5:9" ht="15">
      <c r="E254" s="56" t="s">
        <v>231</v>
      </c>
      <c r="F254" s="56"/>
      <c r="G254" s="56"/>
      <c r="H254" s="56"/>
      <c r="I254" s="56"/>
    </row>
    <row r="255" spans="7:9" ht="15">
      <c r="G255" s="2" t="s">
        <v>232</v>
      </c>
      <c r="H255" s="2">
        <f>ROUNDUP((0.7*H257*H244)/18,0)</f>
        <v>26</v>
      </c>
      <c r="I255" t="s">
        <v>181</v>
      </c>
    </row>
    <row r="256" spans="7:9" ht="15">
      <c r="G256" s="2" t="s">
        <v>233</v>
      </c>
      <c r="H256" s="2">
        <f>ROUNDUP((0.3*H257*H244)/12,0)</f>
        <v>17</v>
      </c>
      <c r="I256" t="s">
        <v>181</v>
      </c>
    </row>
    <row r="257" spans="7:8" ht="15">
      <c r="G257" s="2" t="s">
        <v>234</v>
      </c>
      <c r="H257" s="2">
        <v>4.5</v>
      </c>
    </row>
    <row r="258" spans="4:10" ht="15">
      <c r="D258" s="56" t="s">
        <v>235</v>
      </c>
      <c r="E258" s="56"/>
      <c r="F258" s="56"/>
      <c r="G258" s="56"/>
      <c r="H258" s="56"/>
      <c r="I258" s="56"/>
      <c r="J258" s="56"/>
    </row>
    <row r="259" spans="7:9" ht="15">
      <c r="G259" s="2" t="s">
        <v>236</v>
      </c>
      <c r="H259" s="2">
        <f>H260*H244</f>
        <v>36.5</v>
      </c>
      <c r="I259" t="s">
        <v>181</v>
      </c>
    </row>
    <row r="260" spans="7:8" ht="15">
      <c r="G260" s="2" t="s">
        <v>237</v>
      </c>
      <c r="H260" s="2">
        <v>0.25</v>
      </c>
    </row>
    <row r="261" spans="4:9" ht="15">
      <c r="D261" s="56" t="s">
        <v>238</v>
      </c>
      <c r="E261" s="56"/>
      <c r="F261" s="56"/>
      <c r="G261" s="56"/>
      <c r="H261" s="56"/>
      <c r="I261" s="56"/>
    </row>
    <row r="262" spans="7:11" ht="15">
      <c r="G262" s="2" t="s">
        <v>239</v>
      </c>
      <c r="H262" s="2">
        <f>ROUNDUP(H263*H128,0)</f>
        <v>43</v>
      </c>
      <c r="I262" t="s">
        <v>181</v>
      </c>
      <c r="K262" t="s">
        <v>240</v>
      </c>
    </row>
    <row r="263" spans="7:8" ht="15">
      <c r="G263" s="2" t="s">
        <v>241</v>
      </c>
      <c r="H263" s="2">
        <v>0.25</v>
      </c>
    </row>
  </sheetData>
  <sheetProtection/>
  <mergeCells count="111">
    <mergeCell ref="D246:I246"/>
    <mergeCell ref="D250:I250"/>
    <mergeCell ref="E254:I254"/>
    <mergeCell ref="D258:J258"/>
    <mergeCell ref="D261:I261"/>
    <mergeCell ref="D207:J207"/>
    <mergeCell ref="D211:J211"/>
    <mergeCell ref="D214:I214"/>
    <mergeCell ref="D219:I219"/>
    <mergeCell ref="D233:J233"/>
    <mergeCell ref="D241:I241"/>
    <mergeCell ref="D188:E188"/>
    <mergeCell ref="D189:E189"/>
    <mergeCell ref="D190:E190"/>
    <mergeCell ref="D191:E191"/>
    <mergeCell ref="D193:M193"/>
    <mergeCell ref="E200:I200"/>
    <mergeCell ref="D182:E182"/>
    <mergeCell ref="D183:E183"/>
    <mergeCell ref="D184:E184"/>
    <mergeCell ref="D185:E185"/>
    <mergeCell ref="D186:E186"/>
    <mergeCell ref="D187:E187"/>
    <mergeCell ref="G132:L132"/>
    <mergeCell ref="E147:K147"/>
    <mergeCell ref="F166:J166"/>
    <mergeCell ref="E178:J178"/>
    <mergeCell ref="D180:E181"/>
    <mergeCell ref="F180:F181"/>
    <mergeCell ref="G180:H180"/>
    <mergeCell ref="I180:I181"/>
    <mergeCell ref="C122:C125"/>
    <mergeCell ref="O120:P120"/>
    <mergeCell ref="Q120:R120"/>
    <mergeCell ref="C120:D120"/>
    <mergeCell ref="C121:D121"/>
    <mergeCell ref="E120:F120"/>
    <mergeCell ref="G120:H120"/>
    <mergeCell ref="I120:J120"/>
    <mergeCell ref="K120:L120"/>
    <mergeCell ref="M120:N120"/>
    <mergeCell ref="D19:E19"/>
    <mergeCell ref="H3:K3"/>
    <mergeCell ref="C14:I14"/>
    <mergeCell ref="H18:K18"/>
    <mergeCell ref="F19:G19"/>
    <mergeCell ref="H19:I19"/>
    <mergeCell ref="J19:K19"/>
    <mergeCell ref="D18:G18"/>
    <mergeCell ref="C3:D3"/>
    <mergeCell ref="E3:E4"/>
    <mergeCell ref="L19:M19"/>
    <mergeCell ref="G3:G4"/>
    <mergeCell ref="H4:I4"/>
    <mergeCell ref="J4:K4"/>
    <mergeCell ref="L18:O18"/>
    <mergeCell ref="N19:O19"/>
    <mergeCell ref="D92:D93"/>
    <mergeCell ref="E92:F92"/>
    <mergeCell ref="G92:H92"/>
    <mergeCell ref="D67:D68"/>
    <mergeCell ref="E67:E68"/>
    <mergeCell ref="F67:F68"/>
    <mergeCell ref="X3:AA3"/>
    <mergeCell ref="X4:Y4"/>
    <mergeCell ref="Z4:AA4"/>
    <mergeCell ref="N4:O4"/>
    <mergeCell ref="L3:O3"/>
    <mergeCell ref="V4:W4"/>
    <mergeCell ref="T3:W3"/>
    <mergeCell ref="P4:Q4"/>
    <mergeCell ref="L4:M4"/>
    <mergeCell ref="R4:S4"/>
    <mergeCell ref="X14:Y14"/>
    <mergeCell ref="V19:W19"/>
    <mergeCell ref="T18:Y18"/>
    <mergeCell ref="T19:U19"/>
    <mergeCell ref="X19:Y19"/>
    <mergeCell ref="T14:U14"/>
    <mergeCell ref="P29:Q29"/>
    <mergeCell ref="T29:W29"/>
    <mergeCell ref="F3:F4"/>
    <mergeCell ref="L14:M14"/>
    <mergeCell ref="P18:S18"/>
    <mergeCell ref="P19:Q19"/>
    <mergeCell ref="R19:S19"/>
    <mergeCell ref="P14:Q14"/>
    <mergeCell ref="P3:S3"/>
    <mergeCell ref="T4:U4"/>
    <mergeCell ref="L67:L68"/>
    <mergeCell ref="G67:K67"/>
    <mergeCell ref="K47:L47"/>
    <mergeCell ref="D29:E29"/>
    <mergeCell ref="H29:I29"/>
    <mergeCell ref="L29:M29"/>
    <mergeCell ref="D47:D48"/>
    <mergeCell ref="E47:F47"/>
    <mergeCell ref="G47:H47"/>
    <mergeCell ref="I47:J47"/>
    <mergeCell ref="M47:N47"/>
    <mergeCell ref="E48:F48"/>
    <mergeCell ref="G48:H48"/>
    <mergeCell ref="I48:J48"/>
    <mergeCell ref="K48:L48"/>
    <mergeCell ref="M48:N48"/>
    <mergeCell ref="D98:D99"/>
    <mergeCell ref="E98:E99"/>
    <mergeCell ref="F98:F99"/>
    <mergeCell ref="G98:G99"/>
    <mergeCell ref="H98:H99"/>
    <mergeCell ref="I98:I9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2012-12-04T14:45:04Z</dcterms:modified>
  <cp:category/>
  <cp:version/>
  <cp:contentType/>
  <cp:contentStatus/>
</cp:coreProperties>
</file>