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<sst xmlns="http://schemas.openxmlformats.org/spreadsheetml/2006/main" count="439" uniqueCount="246">
  <si>
    <t>окончание работы</t>
  </si>
  <si>
    <t>Vi</t>
  </si>
  <si>
    <t>6:00-9:00</t>
  </si>
  <si>
    <t>9:00-15:00</t>
  </si>
  <si>
    <t>15:00-19:00</t>
  </si>
  <si>
    <t>19:00-22:00</t>
  </si>
  <si>
    <t>после  22:00</t>
  </si>
  <si>
    <t>будн</t>
  </si>
  <si>
    <t>вых</t>
  </si>
  <si>
    <t>чпу ti, мин</t>
  </si>
  <si>
    <t>чпу ni, ед</t>
  </si>
  <si>
    <t>мпу ti, мин</t>
  </si>
  <si>
    <t>мпу ni, ед</t>
  </si>
  <si>
    <t>чпв ti, мин</t>
  </si>
  <si>
    <t>чпв ni, ед</t>
  </si>
  <si>
    <t>мпв ti, мин</t>
  </si>
  <si>
    <t>мпв ni, ед</t>
  </si>
  <si>
    <t>Дг ti, мин</t>
  </si>
  <si>
    <t>Дг ni, ед</t>
  </si>
  <si>
    <t>-</t>
  </si>
  <si>
    <t>сумма</t>
  </si>
  <si>
    <t>nв</t>
  </si>
  <si>
    <t>6:00-9:00 (3)</t>
  </si>
  <si>
    <t>9:00-15:00 (5)</t>
  </si>
  <si>
    <t>15:00-19:00 (4)</t>
  </si>
  <si>
    <t>19:00-22:00 (3)</t>
  </si>
  <si>
    <t>после 22:00</t>
  </si>
  <si>
    <t>чпу Ti, маш. Ч.</t>
  </si>
  <si>
    <t>мпу Ti, маш. Ч.</t>
  </si>
  <si>
    <t>чпв Ti, маш. Ч.</t>
  </si>
  <si>
    <t>мпв Ti, маш. Ч.</t>
  </si>
  <si>
    <t>тау ДГ</t>
  </si>
  <si>
    <t>Дг Ti, маш. Ч.</t>
  </si>
  <si>
    <t>чпу Li, мин</t>
  </si>
  <si>
    <t>мпу Li, мин</t>
  </si>
  <si>
    <t>чпв Li, мин</t>
  </si>
  <si>
    <t>мпв Li, мин</t>
  </si>
  <si>
    <t>Дг Li, мин</t>
  </si>
  <si>
    <t>nр</t>
  </si>
  <si>
    <t>Сумма</t>
  </si>
  <si>
    <t>2 пункт</t>
  </si>
  <si>
    <t>Пробег тыс. км.</t>
  </si>
  <si>
    <t>Вид рем.</t>
  </si>
  <si>
    <t>Qб, чел ч</t>
  </si>
  <si>
    <t>Коррект. Коэфф.</t>
  </si>
  <si>
    <t>Q, чел ч</t>
  </si>
  <si>
    <t>k1</t>
  </si>
  <si>
    <t>k2</t>
  </si>
  <si>
    <t>k3</t>
  </si>
  <si>
    <t>k4</t>
  </si>
  <si>
    <t>k5</t>
  </si>
  <si>
    <t>то-1</t>
  </si>
  <si>
    <t>то-2</t>
  </si>
  <si>
    <t>то-2 СО(л)</t>
  </si>
  <si>
    <t>тр</t>
  </si>
  <si>
    <t>то-2 СО(з)</t>
  </si>
  <si>
    <t>производственный план депо</t>
  </si>
  <si>
    <t>вид рем. И ослуж.</t>
  </si>
  <si>
    <t>количество ремонта и обслуживания за плановый период</t>
  </si>
  <si>
    <t>трудоемкость ремонтов и обслуживаний, чел. Ч.</t>
  </si>
  <si>
    <t>1-ого троллейбуса</t>
  </si>
  <si>
    <t>всего парка</t>
  </si>
  <si>
    <t>1-го трол.</t>
  </si>
  <si>
    <t>то2</t>
  </si>
  <si>
    <t>время нахождения машин в ремонте и обслуживании</t>
  </si>
  <si>
    <t>вид рем. и обсл.</t>
  </si>
  <si>
    <t>ni</t>
  </si>
  <si>
    <t xml:space="preserve">норм. продолж. ремонта и обслуживания раб. дни </t>
  </si>
  <si>
    <t>время затраченое на ремонт или обсл.</t>
  </si>
  <si>
    <t>время нахожд. или обсл.</t>
  </si>
  <si>
    <t>время которое ПС не раб. на  маршруте по причине ремонта и обслуживания</t>
  </si>
  <si>
    <t>др</t>
  </si>
  <si>
    <t>n то-2 ф</t>
  </si>
  <si>
    <t>n то-1 ф</t>
  </si>
  <si>
    <t>n тр ф</t>
  </si>
  <si>
    <t>Дmin</t>
  </si>
  <si>
    <t>Дmax</t>
  </si>
  <si>
    <t>Вид  рем. И осл</t>
  </si>
  <si>
    <t>кол-во</t>
  </si>
  <si>
    <t>фронт ремонтов или обсл</t>
  </si>
  <si>
    <t>число дней с max или min фронтом ремонта I вида</t>
  </si>
  <si>
    <t>min</t>
  </si>
  <si>
    <t>max</t>
  </si>
  <si>
    <t>n ео</t>
  </si>
  <si>
    <t>α вр</t>
  </si>
  <si>
    <t>α вр Г</t>
  </si>
  <si>
    <t>3 пункт</t>
  </si>
  <si>
    <t>t cм</t>
  </si>
  <si>
    <t>сутки</t>
  </si>
  <si>
    <t>время смены</t>
  </si>
  <si>
    <t xml:space="preserve">бригады </t>
  </si>
  <si>
    <t>зр</t>
  </si>
  <si>
    <t>ео</t>
  </si>
  <si>
    <t>Таблица 2.7 – Программа ремонтов и обслуживаний на плановый период</t>
  </si>
  <si>
    <t>Si,км</t>
  </si>
  <si>
    <t>t,мин</t>
  </si>
  <si>
    <t>Vi,км\ч</t>
  </si>
  <si>
    <t>Таблица 1.1 – Результаты расчета количества машин для депо по периодам работы</t>
  </si>
  <si>
    <t>Таблица 1.2 – Результаты расчета машино-часов по периодам работ</t>
  </si>
  <si>
    <t>Тр,маш\ч</t>
  </si>
  <si>
    <t>tccp,ч</t>
  </si>
  <si>
    <t>tcc,ч</t>
  </si>
  <si>
    <t>Tо,маш\ч</t>
  </si>
  <si>
    <t>Tсг,маш\ч</t>
  </si>
  <si>
    <t>Др,дни</t>
  </si>
  <si>
    <t>Дв,дни</t>
  </si>
  <si>
    <t>nи,ед</t>
  </si>
  <si>
    <t>tccв,ч</t>
  </si>
  <si>
    <t>Тв,маш\ч</t>
  </si>
  <si>
    <t>Таблица 1.3 – Результаты расчета машино-километров пробега по периодам работы</t>
  </si>
  <si>
    <t>Lp,км\ч</t>
  </si>
  <si>
    <t>Lв,км\ч</t>
  </si>
  <si>
    <t>Lccp,км\ч</t>
  </si>
  <si>
    <t>Lccв,км</t>
  </si>
  <si>
    <t>Lcc,км</t>
  </si>
  <si>
    <t>L0,маш\км</t>
  </si>
  <si>
    <t>Lcг,км</t>
  </si>
  <si>
    <t>Таблица 2.8 – Производственный план депо</t>
  </si>
  <si>
    <t>Таблица 2.9 – Время нахождения машин в ремонте и обслуживании</t>
  </si>
  <si>
    <t>Таблица 2.10 – Фронт ремонтов</t>
  </si>
  <si>
    <t>2.3 Инвентарный парк депо</t>
  </si>
  <si>
    <t>n ф,ед</t>
  </si>
  <si>
    <t>n и,ед</t>
  </si>
  <si>
    <t>Teo,чел\ч</t>
  </si>
  <si>
    <t>T сум eo,чел\ч</t>
  </si>
  <si>
    <t>n cум,чел</t>
  </si>
  <si>
    <t>n бр,чел в бр</t>
  </si>
  <si>
    <t>Схема работы бригад ЕО и ЗР</t>
  </si>
  <si>
    <t>1.1 Численность водителей троллейбусов</t>
  </si>
  <si>
    <t>ч в я,чел</t>
  </si>
  <si>
    <t>ч в е,чел</t>
  </si>
  <si>
    <t>Численность рабочих, занятых обслуживанием и ремонтом ПС</t>
  </si>
  <si>
    <t>Ч p тр,чел</t>
  </si>
  <si>
    <t>Ч p то-2,чел</t>
  </si>
  <si>
    <t>Ч p то-1,чел</t>
  </si>
  <si>
    <t>Ч р ео,чел</t>
  </si>
  <si>
    <t>Ч р всп,чел</t>
  </si>
  <si>
    <t>Фр</t>
  </si>
  <si>
    <t>n тр ео</t>
  </si>
  <si>
    <t>L1</t>
  </si>
  <si>
    <t>nд</t>
  </si>
  <si>
    <t>L2</t>
  </si>
  <si>
    <t>nео</t>
  </si>
  <si>
    <t>L3</t>
  </si>
  <si>
    <t>n р</t>
  </si>
  <si>
    <t>A п</t>
  </si>
  <si>
    <t>L му</t>
  </si>
  <si>
    <t>L пс</t>
  </si>
  <si>
    <t>L оэ</t>
  </si>
  <si>
    <t>L мт</t>
  </si>
  <si>
    <t>L мк</t>
  </si>
  <si>
    <t>n тр м</t>
  </si>
  <si>
    <t>Т м</t>
  </si>
  <si>
    <t>n тр к</t>
  </si>
  <si>
    <t>n тр</t>
  </si>
  <si>
    <t>Д р</t>
  </si>
  <si>
    <t>t тр</t>
  </si>
  <si>
    <t>Наим уч и отд</t>
  </si>
  <si>
    <t>Кол-во работ</t>
  </si>
  <si>
    <t>Уд-ая площадь</t>
  </si>
  <si>
    <t>агрегатное</t>
  </si>
  <si>
    <t>электротезн</t>
  </si>
  <si>
    <t>кузнечно-ресс</t>
  </si>
  <si>
    <t>сварочное</t>
  </si>
  <si>
    <t>слесарное</t>
  </si>
  <si>
    <t>обойное</t>
  </si>
  <si>
    <t>слесарно-кузн</t>
  </si>
  <si>
    <t>слесарно-механ</t>
  </si>
  <si>
    <t>аккумул</t>
  </si>
  <si>
    <t>машиномонтажн</t>
  </si>
  <si>
    <t>Расчет площади профилактория</t>
  </si>
  <si>
    <t>6 пункт</t>
  </si>
  <si>
    <t>5 пункт</t>
  </si>
  <si>
    <t>Расчет кузовного и малярного отделения</t>
  </si>
  <si>
    <t>v к</t>
  </si>
  <si>
    <t>n комп</t>
  </si>
  <si>
    <t>n и</t>
  </si>
  <si>
    <t>f к</t>
  </si>
  <si>
    <t>p</t>
  </si>
  <si>
    <t>P</t>
  </si>
  <si>
    <t>f т</t>
  </si>
  <si>
    <t>f м</t>
  </si>
  <si>
    <t>f кл</t>
  </si>
  <si>
    <t>f авт</t>
  </si>
  <si>
    <t>f мост</t>
  </si>
  <si>
    <t>n авт</t>
  </si>
  <si>
    <t>f гсм</t>
  </si>
  <si>
    <t>L сг</t>
  </si>
  <si>
    <t xml:space="preserve">n </t>
  </si>
  <si>
    <t>l п</t>
  </si>
  <si>
    <t>f п</t>
  </si>
  <si>
    <t>8 пункт</t>
  </si>
  <si>
    <t>А1</t>
  </si>
  <si>
    <t>А с</t>
  </si>
  <si>
    <t>f гв</t>
  </si>
  <si>
    <t>0,7 fг Aг</t>
  </si>
  <si>
    <t>f r</t>
  </si>
  <si>
    <t>0,3 fr Ar</t>
  </si>
  <si>
    <t>A r</t>
  </si>
  <si>
    <t>0,7 fд Ar/7</t>
  </si>
  <si>
    <t>f д</t>
  </si>
  <si>
    <t>0,3fд Ar/7</t>
  </si>
  <si>
    <t>f у</t>
  </si>
  <si>
    <t>0,7 fу Ar/10</t>
  </si>
  <si>
    <t>f з</t>
  </si>
  <si>
    <t>0,3 fу Ar/10</t>
  </si>
  <si>
    <t>f  и</t>
  </si>
  <si>
    <t>0,7 fуб (Ar+A аккум)/18</t>
  </si>
  <si>
    <t>0,3 f уб (Ar+А аккум)/12</t>
  </si>
  <si>
    <t>fз( Аг+А аккум)</t>
  </si>
  <si>
    <t>f и* Ч в я</t>
  </si>
  <si>
    <t>F п,м2</t>
  </si>
  <si>
    <t>f1,м2</t>
  </si>
  <si>
    <t>f0,м2</t>
  </si>
  <si>
    <t xml:space="preserve">
Таблица 1.1 – Расчёт площади производственных мастерских
</t>
  </si>
  <si>
    <t xml:space="preserve">
Таблица 1.1 – Расчёт площади производственных мастерских
Таблица 1.1 – Расчёт площади производственных мастерских
</t>
  </si>
  <si>
    <t xml:space="preserve">Расчёт площади производственных мастерских
Таблица 1.1 – Расчёт площади производственных мастерских
Таблица 1.1 – Расчёт площади производственных мастерских
Таблица 1.1 – Расчёт площади производственных мастерских
</t>
  </si>
  <si>
    <t>7 пункт</t>
  </si>
  <si>
    <t>F к,м2</t>
  </si>
  <si>
    <t>V к,м3</t>
  </si>
  <si>
    <t>P с т,ква\ед</t>
  </si>
  <si>
    <t>n с т,ед</t>
  </si>
  <si>
    <t>F т,м2</t>
  </si>
  <si>
    <t>F м,м2</t>
  </si>
  <si>
    <t>F кл,м2</t>
  </si>
  <si>
    <t>F ст,м2</t>
  </si>
  <si>
    <t>F гсм,м2</t>
  </si>
  <si>
    <t>F кл р,м2</t>
  </si>
  <si>
    <t>L,км</t>
  </si>
  <si>
    <t>n з,шт</t>
  </si>
  <si>
    <t>n о з ,ед</t>
  </si>
  <si>
    <t>n оз п,ед</t>
  </si>
  <si>
    <t>n оз к,ед</t>
  </si>
  <si>
    <t>А гв,м2</t>
  </si>
  <si>
    <t>S гв,м2</t>
  </si>
  <si>
    <t>S р м,м2</t>
  </si>
  <si>
    <t>S р ж,м2</t>
  </si>
  <si>
    <t>S д м ,м2</t>
  </si>
  <si>
    <t>S д ж,м2</t>
  </si>
  <si>
    <t>S у м,м2</t>
  </si>
  <si>
    <t>S уж,м2</t>
  </si>
  <si>
    <t>S уб м,м2</t>
  </si>
  <si>
    <t>S убж,м2</t>
  </si>
  <si>
    <t>S з,м2</t>
  </si>
  <si>
    <t>S и,м2</t>
  </si>
  <si>
    <t>Ааккум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</si>
</sst>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&quot;р.&quot;"/>
    <numFmt numFmtId="166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33" borderId="10" xfId="53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164" fontId="0" fillId="33" borderId="10" xfId="53" applyNumberFormat="1" applyFill="1" applyBorder="1" applyAlignment="1">
      <alignment horizontal="center" vertical="center"/>
      <protection/>
    </xf>
    <xf numFmtId="0" fontId="18" fillId="33" borderId="10" xfId="0" applyFont="1" applyFill="1" applyBorder="1" applyAlignment="1">
      <alignment/>
    </xf>
    <xf numFmtId="0" fontId="0" fillId="33" borderId="10" xfId="53" applyFill="1" applyBorder="1">
      <alignment/>
      <protection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4" borderId="12" xfId="53" applyFill="1" applyBorder="1">
      <alignment/>
      <protection/>
    </xf>
    <xf numFmtId="0" fontId="0" fillId="34" borderId="10" xfId="53" applyFill="1" applyBorder="1">
      <alignment/>
      <protection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5" borderId="0" xfId="0" applyFill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40" fillId="0" borderId="1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8" fillId="35" borderId="0" xfId="0" applyFont="1" applyFill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36" borderId="10" xfId="53" applyFill="1" applyBorder="1" applyAlignment="1">
      <alignment horizontal="center"/>
      <protection/>
    </xf>
    <xf numFmtId="0" fontId="0" fillId="35" borderId="10" xfId="53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33" borderId="10" xfId="53" applyFill="1" applyBorder="1" applyAlignment="1">
      <alignment horizontal="center" vertical="center" wrapText="1"/>
      <protection/>
    </xf>
    <xf numFmtId="0" fontId="0" fillId="33" borderId="10" xfId="53" applyFill="1" applyBorder="1" applyAlignment="1">
      <alignment horizontal="center"/>
      <protection/>
    </xf>
    <xf numFmtId="0" fontId="0" fillId="33" borderId="29" xfId="53" applyFill="1" applyBorder="1" applyAlignment="1">
      <alignment horizontal="center"/>
      <protection/>
    </xf>
    <xf numFmtId="0" fontId="0" fillId="33" borderId="30" xfId="53" applyFill="1" applyBorder="1" applyAlignment="1">
      <alignment horizontal="center"/>
      <protection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20" fontId="0" fillId="35" borderId="10" xfId="53" applyNumberForma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40">
      <selection activeCell="C160" sqref="C160"/>
    </sheetView>
  </sheetViews>
  <sheetFormatPr defaultColWidth="9.140625" defaultRowHeight="15"/>
  <cols>
    <col min="1" max="1" width="7.57421875" style="0" customWidth="1"/>
    <col min="2" max="2" width="19.57421875" style="0" customWidth="1"/>
    <col min="4" max="4" width="13.28125" style="0" customWidth="1"/>
    <col min="5" max="5" width="15.421875" style="0" customWidth="1"/>
    <col min="6" max="6" width="11.57421875" style="0" bestFit="1" customWidth="1"/>
    <col min="7" max="7" width="8.57421875" style="0" customWidth="1"/>
    <col min="11" max="11" width="14.28125" style="0" customWidth="1"/>
  </cols>
  <sheetData>
    <row r="1" spans="1:25" ht="15" customHeight="1">
      <c r="A1" s="62" t="s">
        <v>0</v>
      </c>
      <c r="B1" s="62"/>
      <c r="C1" s="63" t="s">
        <v>94</v>
      </c>
      <c r="D1" s="63" t="s">
        <v>96</v>
      </c>
      <c r="E1" s="63" t="s">
        <v>95</v>
      </c>
      <c r="F1" s="58" t="s">
        <v>2</v>
      </c>
      <c r="G1" s="58"/>
      <c r="H1" s="58"/>
      <c r="I1" s="58"/>
      <c r="J1" s="57" t="s">
        <v>3</v>
      </c>
      <c r="K1" s="57"/>
      <c r="L1" s="57"/>
      <c r="M1" s="57"/>
      <c r="N1" s="58" t="s">
        <v>4</v>
      </c>
      <c r="O1" s="58"/>
      <c r="P1" s="58"/>
      <c r="Q1" s="58"/>
      <c r="R1" s="57" t="s">
        <v>5</v>
      </c>
      <c r="S1" s="57"/>
      <c r="T1" s="57"/>
      <c r="U1" s="57"/>
      <c r="V1" s="58" t="s">
        <v>6</v>
      </c>
      <c r="W1" s="58"/>
      <c r="X1" s="58"/>
      <c r="Y1" s="58"/>
    </row>
    <row r="2" spans="1:25" ht="15" customHeight="1">
      <c r="A2" s="1" t="s">
        <v>7</v>
      </c>
      <c r="B2" s="1" t="s">
        <v>8</v>
      </c>
      <c r="C2" s="63"/>
      <c r="D2" s="63"/>
      <c r="E2" s="63"/>
      <c r="F2" s="62" t="s">
        <v>9</v>
      </c>
      <c r="G2" s="62"/>
      <c r="H2" s="62" t="s">
        <v>10</v>
      </c>
      <c r="I2" s="62"/>
      <c r="J2" s="62" t="s">
        <v>11</v>
      </c>
      <c r="K2" s="62"/>
      <c r="L2" s="62" t="s">
        <v>12</v>
      </c>
      <c r="M2" s="62"/>
      <c r="N2" s="62" t="s">
        <v>13</v>
      </c>
      <c r="O2" s="62"/>
      <c r="P2" s="62" t="s">
        <v>14</v>
      </c>
      <c r="Q2" s="62"/>
      <c r="R2" s="62" t="s">
        <v>15</v>
      </c>
      <c r="S2" s="62"/>
      <c r="T2" s="62" t="s">
        <v>16</v>
      </c>
      <c r="U2" s="62"/>
      <c r="V2" s="62" t="s">
        <v>17</v>
      </c>
      <c r="W2" s="62"/>
      <c r="X2" s="62" t="s">
        <v>18</v>
      </c>
      <c r="Y2" s="62"/>
    </row>
    <row r="3" spans="1:25" ht="15">
      <c r="A3" s="2" t="s">
        <v>19</v>
      </c>
      <c r="B3" s="2" t="s">
        <v>19</v>
      </c>
      <c r="C3" s="2">
        <v>24.8</v>
      </c>
      <c r="D3" s="23">
        <f>C3*60/E3</f>
        <v>18.835443037974684</v>
      </c>
      <c r="E3" s="2">
        <v>79</v>
      </c>
      <c r="F3" s="2">
        <v>16</v>
      </c>
      <c r="G3" s="2">
        <v>0</v>
      </c>
      <c r="H3" s="2">
        <v>5</v>
      </c>
      <c r="I3" s="2" t="s">
        <v>19</v>
      </c>
      <c r="J3" s="2">
        <v>0</v>
      </c>
      <c r="K3" s="2">
        <v>0</v>
      </c>
      <c r="L3" s="2" t="s">
        <v>19</v>
      </c>
      <c r="M3" s="2" t="s">
        <v>19</v>
      </c>
      <c r="N3" s="2">
        <v>20</v>
      </c>
      <c r="O3" s="2">
        <v>0</v>
      </c>
      <c r="P3" s="2">
        <v>4</v>
      </c>
      <c r="Q3" s="2" t="s">
        <v>19</v>
      </c>
      <c r="R3" s="2">
        <v>0</v>
      </c>
      <c r="S3" s="2">
        <v>0</v>
      </c>
      <c r="T3" s="2" t="s">
        <v>19</v>
      </c>
      <c r="U3" s="2" t="s">
        <v>19</v>
      </c>
      <c r="V3" s="2">
        <v>0</v>
      </c>
      <c r="W3" s="2">
        <v>0</v>
      </c>
      <c r="X3" s="2" t="s">
        <v>19</v>
      </c>
      <c r="Y3" s="2" t="s">
        <v>19</v>
      </c>
    </row>
    <row r="4" spans="1:25" ht="15">
      <c r="A4" s="3">
        <v>0.19652777777777777</v>
      </c>
      <c r="B4" s="3">
        <v>0.07430555555555556</v>
      </c>
      <c r="C4" s="2">
        <v>31.4</v>
      </c>
      <c r="D4" s="23">
        <f aca="true" t="shared" si="0" ref="D4:D11">C4*60/E4</f>
        <v>17.28440366972477</v>
      </c>
      <c r="E4" s="2">
        <v>109</v>
      </c>
      <c r="F4" s="2">
        <v>4</v>
      </c>
      <c r="G4" s="2">
        <v>5</v>
      </c>
      <c r="H4" s="2">
        <v>28</v>
      </c>
      <c r="I4" s="2">
        <v>22</v>
      </c>
      <c r="J4" s="2">
        <v>6</v>
      </c>
      <c r="K4" s="2">
        <v>5</v>
      </c>
      <c r="L4" s="2">
        <v>19</v>
      </c>
      <c r="M4" s="2">
        <v>22</v>
      </c>
      <c r="N4" s="2">
        <v>4</v>
      </c>
      <c r="O4" s="2">
        <v>5</v>
      </c>
      <c r="P4" s="2">
        <v>28</v>
      </c>
      <c r="Q4" s="2">
        <v>22</v>
      </c>
      <c r="R4" s="2">
        <v>14</v>
      </c>
      <c r="S4" s="2">
        <v>10</v>
      </c>
      <c r="T4" s="2">
        <v>8</v>
      </c>
      <c r="U4" s="2">
        <v>11</v>
      </c>
      <c r="V4" s="2">
        <v>22</v>
      </c>
      <c r="W4" s="2">
        <v>27</v>
      </c>
      <c r="X4" s="2">
        <v>5</v>
      </c>
      <c r="Y4" s="2">
        <v>5</v>
      </c>
    </row>
    <row r="5" spans="1:25" ht="15">
      <c r="A5" s="3">
        <v>0.22013888888888888</v>
      </c>
      <c r="B5" s="3">
        <v>0.024305555555555556</v>
      </c>
      <c r="C5" s="2">
        <v>21.7</v>
      </c>
      <c r="D5" s="23">
        <f t="shared" si="0"/>
        <v>19.432835820895523</v>
      </c>
      <c r="E5" s="2">
        <v>67</v>
      </c>
      <c r="F5" s="2">
        <v>5</v>
      </c>
      <c r="G5" s="2">
        <v>17</v>
      </c>
      <c r="H5" s="2">
        <v>14</v>
      </c>
      <c r="I5" s="2">
        <v>4</v>
      </c>
      <c r="J5" s="2">
        <v>13</v>
      </c>
      <c r="K5" s="2">
        <v>17</v>
      </c>
      <c r="L5" s="2">
        <v>6</v>
      </c>
      <c r="M5" s="2">
        <v>4</v>
      </c>
      <c r="N5" s="2">
        <v>5</v>
      </c>
      <c r="O5" s="2">
        <v>17</v>
      </c>
      <c r="P5" s="2">
        <v>14</v>
      </c>
      <c r="Q5" s="2">
        <v>4</v>
      </c>
      <c r="R5" s="2">
        <v>13</v>
      </c>
      <c r="S5" s="2">
        <v>17</v>
      </c>
      <c r="T5" s="2">
        <v>6</v>
      </c>
      <c r="U5" s="2">
        <v>4</v>
      </c>
      <c r="V5" s="2">
        <v>13</v>
      </c>
      <c r="W5" s="2">
        <v>17</v>
      </c>
      <c r="X5" s="2">
        <v>6</v>
      </c>
      <c r="Y5" s="2">
        <v>12</v>
      </c>
    </row>
    <row r="6" spans="1:25" ht="15">
      <c r="A6" s="3">
        <v>0.19722222222222222</v>
      </c>
      <c r="B6" s="3">
        <v>0.0763888888888889</v>
      </c>
      <c r="C6" s="2">
        <v>30.9</v>
      </c>
      <c r="D6" s="23">
        <f t="shared" si="0"/>
        <v>16.4070796460177</v>
      </c>
      <c r="E6" s="2">
        <v>113</v>
      </c>
      <c r="F6" s="2">
        <v>6</v>
      </c>
      <c r="G6" s="2">
        <v>9</v>
      </c>
      <c r="H6" s="2">
        <v>19</v>
      </c>
      <c r="I6" s="2">
        <v>13</v>
      </c>
      <c r="J6" s="2">
        <v>8</v>
      </c>
      <c r="K6" s="2">
        <v>9</v>
      </c>
      <c r="L6" s="2">
        <v>15</v>
      </c>
      <c r="M6" s="2">
        <v>13</v>
      </c>
      <c r="N6" s="2">
        <v>6</v>
      </c>
      <c r="O6" s="2">
        <v>9</v>
      </c>
      <c r="P6" s="2">
        <v>19</v>
      </c>
      <c r="Q6" s="2">
        <v>13</v>
      </c>
      <c r="R6" s="2">
        <v>23</v>
      </c>
      <c r="S6" s="2">
        <v>19</v>
      </c>
      <c r="T6" s="2">
        <v>5</v>
      </c>
      <c r="U6" s="2">
        <v>6</v>
      </c>
      <c r="V6" s="2">
        <v>23</v>
      </c>
      <c r="W6" s="2">
        <v>28</v>
      </c>
      <c r="X6" s="2">
        <v>5</v>
      </c>
      <c r="Y6" s="2">
        <v>5</v>
      </c>
    </row>
    <row r="7" spans="1:25" ht="15">
      <c r="A7" s="3">
        <v>0.18958333333333333</v>
      </c>
      <c r="B7" s="3">
        <v>0.06458333333333334</v>
      </c>
      <c r="C7" s="2">
        <v>33.1</v>
      </c>
      <c r="D7" s="23">
        <f t="shared" si="0"/>
        <v>18.220183486238533</v>
      </c>
      <c r="E7" s="2">
        <v>109</v>
      </c>
      <c r="F7" s="2">
        <v>5</v>
      </c>
      <c r="G7" s="2">
        <v>8</v>
      </c>
      <c r="H7" s="2">
        <v>22</v>
      </c>
      <c r="I7" s="2">
        <v>14</v>
      </c>
      <c r="J7" s="2">
        <v>10</v>
      </c>
      <c r="K7" s="2">
        <v>8</v>
      </c>
      <c r="L7" s="2">
        <v>11</v>
      </c>
      <c r="M7" s="2">
        <v>14</v>
      </c>
      <c r="N7" s="2">
        <v>5</v>
      </c>
      <c r="O7" s="2">
        <v>8</v>
      </c>
      <c r="P7" s="2">
        <v>22</v>
      </c>
      <c r="Q7" s="2">
        <v>14</v>
      </c>
      <c r="R7" s="2">
        <v>14</v>
      </c>
      <c r="S7" s="2">
        <v>18</v>
      </c>
      <c r="T7" s="2">
        <v>8</v>
      </c>
      <c r="U7" s="2">
        <v>7</v>
      </c>
      <c r="V7" s="2">
        <v>18</v>
      </c>
      <c r="W7" s="2">
        <v>22</v>
      </c>
      <c r="X7" s="2">
        <v>7</v>
      </c>
      <c r="Y7" s="2">
        <v>5</v>
      </c>
    </row>
    <row r="8" spans="1:25" ht="15">
      <c r="A8" s="2" t="s">
        <v>19</v>
      </c>
      <c r="B8" s="2" t="s">
        <v>19</v>
      </c>
      <c r="C8" s="2">
        <v>24.3</v>
      </c>
      <c r="D8" s="23">
        <f t="shared" si="0"/>
        <v>18.692307692307693</v>
      </c>
      <c r="E8" s="2">
        <v>78</v>
      </c>
      <c r="F8" s="2">
        <v>16</v>
      </c>
      <c r="G8" s="2">
        <v>0</v>
      </c>
      <c r="H8" s="2">
        <v>5</v>
      </c>
      <c r="I8" s="2" t="s">
        <v>19</v>
      </c>
      <c r="J8" s="2">
        <v>0</v>
      </c>
      <c r="K8" s="2">
        <v>0</v>
      </c>
      <c r="L8" s="2" t="s">
        <v>19</v>
      </c>
      <c r="M8" s="2" t="s">
        <v>19</v>
      </c>
      <c r="N8" s="2">
        <v>16</v>
      </c>
      <c r="O8" s="2">
        <v>0</v>
      </c>
      <c r="P8" s="2">
        <v>5</v>
      </c>
      <c r="Q8" s="2" t="s">
        <v>19</v>
      </c>
      <c r="R8" s="2">
        <v>0</v>
      </c>
      <c r="S8" s="2">
        <v>0</v>
      </c>
      <c r="T8" s="2" t="s">
        <v>19</v>
      </c>
      <c r="U8" s="2" t="s">
        <v>19</v>
      </c>
      <c r="V8" s="2">
        <v>0</v>
      </c>
      <c r="W8" s="2">
        <v>0</v>
      </c>
      <c r="X8" s="2" t="s">
        <v>19</v>
      </c>
      <c r="Y8" s="2" t="s">
        <v>19</v>
      </c>
    </row>
    <row r="9" spans="1:25" ht="15">
      <c r="A9" s="2" t="s">
        <v>19</v>
      </c>
      <c r="B9" s="2" t="s">
        <v>19</v>
      </c>
      <c r="C9" s="2">
        <v>30.5</v>
      </c>
      <c r="D9" s="23">
        <f t="shared" si="0"/>
        <v>17.941176470588236</v>
      </c>
      <c r="E9" s="2">
        <v>102</v>
      </c>
      <c r="F9" s="2">
        <v>26</v>
      </c>
      <c r="G9" s="2">
        <v>0</v>
      </c>
      <c r="H9" s="2">
        <v>4</v>
      </c>
      <c r="I9" s="2" t="s">
        <v>19</v>
      </c>
      <c r="J9" s="2">
        <v>0</v>
      </c>
      <c r="K9" s="2">
        <v>0</v>
      </c>
      <c r="L9" s="2" t="s">
        <v>19</v>
      </c>
      <c r="M9" s="2" t="s">
        <v>19</v>
      </c>
      <c r="N9" s="2">
        <v>26</v>
      </c>
      <c r="O9" s="2">
        <v>0</v>
      </c>
      <c r="P9" s="2">
        <v>4</v>
      </c>
      <c r="Q9" s="2" t="s">
        <v>19</v>
      </c>
      <c r="R9" s="2">
        <v>0</v>
      </c>
      <c r="S9" s="2">
        <v>0</v>
      </c>
      <c r="T9" s="2" t="s">
        <v>19</v>
      </c>
      <c r="U9" s="2" t="s">
        <v>19</v>
      </c>
      <c r="V9" s="2">
        <v>0</v>
      </c>
      <c r="W9" s="2">
        <v>0</v>
      </c>
      <c r="X9" s="2" t="s">
        <v>19</v>
      </c>
      <c r="Y9" s="2" t="s">
        <v>19</v>
      </c>
    </row>
    <row r="10" spans="1:25" ht="15">
      <c r="A10" s="3">
        <v>0.3958333333333333</v>
      </c>
      <c r="B10" s="3">
        <v>0.6875</v>
      </c>
      <c r="C10" s="2">
        <v>25.5</v>
      </c>
      <c r="D10" s="23">
        <f t="shared" si="0"/>
        <v>17.386363636363637</v>
      </c>
      <c r="E10" s="2">
        <v>88</v>
      </c>
      <c r="F10" s="2">
        <v>29</v>
      </c>
      <c r="G10" s="2">
        <v>44</v>
      </c>
      <c r="H10" s="2">
        <v>4</v>
      </c>
      <c r="I10" s="2">
        <v>2</v>
      </c>
      <c r="J10" s="2">
        <v>29</v>
      </c>
      <c r="K10" s="2">
        <v>44</v>
      </c>
      <c r="L10" s="2">
        <v>4</v>
      </c>
      <c r="M10" s="2">
        <v>2</v>
      </c>
      <c r="N10" s="2">
        <v>29</v>
      </c>
      <c r="O10" s="2">
        <v>44</v>
      </c>
      <c r="P10" s="2">
        <v>4</v>
      </c>
      <c r="Q10" s="2">
        <v>2</v>
      </c>
      <c r="R10" s="2">
        <v>29</v>
      </c>
      <c r="S10" s="2">
        <v>0</v>
      </c>
      <c r="T10" s="2">
        <v>4</v>
      </c>
      <c r="U10" s="2" t="s">
        <v>19</v>
      </c>
      <c r="V10" s="2">
        <v>0</v>
      </c>
      <c r="W10" s="2">
        <v>0</v>
      </c>
      <c r="X10" s="2" t="s">
        <v>19</v>
      </c>
      <c r="Y10" s="2" t="s">
        <v>19</v>
      </c>
    </row>
    <row r="11" spans="1:25" ht="15">
      <c r="A11" s="3">
        <v>0.24305555555555555</v>
      </c>
      <c r="B11" s="3">
        <v>0.9125</v>
      </c>
      <c r="C11" s="2">
        <v>19.1</v>
      </c>
      <c r="D11" s="23">
        <f t="shared" si="0"/>
        <v>17.104477611940297</v>
      </c>
      <c r="E11" s="2">
        <v>67</v>
      </c>
      <c r="F11" s="2">
        <v>22</v>
      </c>
      <c r="G11" s="2">
        <v>22</v>
      </c>
      <c r="H11" s="2">
        <v>4</v>
      </c>
      <c r="I11" s="2">
        <v>4</v>
      </c>
      <c r="J11" s="2">
        <v>22</v>
      </c>
      <c r="K11" s="2">
        <v>22</v>
      </c>
      <c r="L11" s="2">
        <v>4</v>
      </c>
      <c r="M11" s="2">
        <v>4</v>
      </c>
      <c r="N11" s="2">
        <v>34</v>
      </c>
      <c r="O11" s="2">
        <v>22</v>
      </c>
      <c r="P11" s="2">
        <v>2</v>
      </c>
      <c r="Q11" s="2">
        <v>4</v>
      </c>
      <c r="R11" s="2">
        <v>34</v>
      </c>
      <c r="S11" s="2">
        <v>34</v>
      </c>
      <c r="T11" s="2">
        <v>2</v>
      </c>
      <c r="U11" s="2">
        <v>2</v>
      </c>
      <c r="V11" s="2">
        <v>67</v>
      </c>
      <c r="W11" s="2">
        <v>0</v>
      </c>
      <c r="X11" s="2">
        <v>1</v>
      </c>
      <c r="Y11" s="2" t="s">
        <v>19</v>
      </c>
    </row>
    <row r="12" spans="6:25" ht="15">
      <c r="F12" s="2"/>
      <c r="G12" s="2"/>
      <c r="H12" s="2">
        <f aca="true" t="shared" si="1" ref="H12:M12">SUM(H3:H11)</f>
        <v>105</v>
      </c>
      <c r="I12" s="2">
        <f t="shared" si="1"/>
        <v>59</v>
      </c>
      <c r="J12" s="2">
        <f t="shared" si="1"/>
        <v>88</v>
      </c>
      <c r="K12" s="2">
        <f t="shared" si="1"/>
        <v>105</v>
      </c>
      <c r="L12" s="2">
        <f t="shared" si="1"/>
        <v>59</v>
      </c>
      <c r="M12" s="2">
        <f t="shared" si="1"/>
        <v>59</v>
      </c>
      <c r="N12" s="2"/>
      <c r="O12" s="2"/>
      <c r="P12" s="2">
        <f>SUM(P3:P11)</f>
        <v>102</v>
      </c>
      <c r="Q12" s="2">
        <f>SUM(Q3:Q11)</f>
        <v>59</v>
      </c>
      <c r="R12" s="2"/>
      <c r="S12" s="2"/>
      <c r="T12" s="2">
        <f>SUM(T3:T11)</f>
        <v>33</v>
      </c>
      <c r="U12" s="2">
        <f>SUM(U3:U11)</f>
        <v>30</v>
      </c>
      <c r="V12" s="2"/>
      <c r="W12" s="2"/>
      <c r="X12" s="2">
        <f>SUM(X3:X11)</f>
        <v>24</v>
      </c>
      <c r="Y12" s="2">
        <f>SUM(Y3:Y11)</f>
        <v>27</v>
      </c>
    </row>
    <row r="14" spans="1:7" ht="15">
      <c r="A14" s="48" t="s">
        <v>97</v>
      </c>
      <c r="B14" s="48"/>
      <c r="C14" s="48"/>
      <c r="D14" s="48"/>
      <c r="E14" s="48"/>
      <c r="F14" s="48"/>
      <c r="G14" s="48"/>
    </row>
    <row r="16" spans="1:4" ht="15">
      <c r="A16" s="2" t="s">
        <v>38</v>
      </c>
      <c r="B16" s="40">
        <f>H12</f>
        <v>105</v>
      </c>
      <c r="C16" s="2" t="s">
        <v>21</v>
      </c>
      <c r="D16" s="40">
        <f>I12</f>
        <v>59</v>
      </c>
    </row>
    <row r="18" spans="3:11" ht="15">
      <c r="C18" s="67" t="s">
        <v>98</v>
      </c>
      <c r="D18" s="67"/>
      <c r="E18" s="67"/>
      <c r="F18" s="67"/>
      <c r="G18" s="67"/>
      <c r="H18" s="67"/>
      <c r="I18" s="67"/>
      <c r="J18" s="67"/>
      <c r="K18" s="67"/>
    </row>
    <row r="19" spans="1:22" ht="15">
      <c r="A19" s="68" t="s">
        <v>22</v>
      </c>
      <c r="B19" s="68"/>
      <c r="C19" s="68"/>
      <c r="D19" s="68"/>
      <c r="E19" s="57" t="s">
        <v>23</v>
      </c>
      <c r="F19" s="57"/>
      <c r="G19" s="57"/>
      <c r="H19" s="57"/>
      <c r="I19" s="58" t="s">
        <v>24</v>
      </c>
      <c r="J19" s="58"/>
      <c r="K19" s="58"/>
      <c r="L19" s="58"/>
      <c r="M19" s="57" t="s">
        <v>25</v>
      </c>
      <c r="N19" s="57"/>
      <c r="O19" s="57"/>
      <c r="P19" s="57"/>
      <c r="Q19" s="58" t="s">
        <v>26</v>
      </c>
      <c r="R19" s="58"/>
      <c r="S19" s="58"/>
      <c r="T19" s="58"/>
      <c r="U19" s="58"/>
      <c r="V19" s="58"/>
    </row>
    <row r="20" spans="1:22" ht="15">
      <c r="A20" s="62" t="s">
        <v>10</v>
      </c>
      <c r="B20" s="62"/>
      <c r="C20" s="64" t="s">
        <v>27</v>
      </c>
      <c r="D20" s="65"/>
      <c r="E20" s="62" t="s">
        <v>12</v>
      </c>
      <c r="F20" s="62"/>
      <c r="G20" s="64" t="s">
        <v>28</v>
      </c>
      <c r="H20" s="65"/>
      <c r="I20" s="62" t="s">
        <v>14</v>
      </c>
      <c r="J20" s="62"/>
      <c r="K20" s="64" t="s">
        <v>29</v>
      </c>
      <c r="L20" s="65"/>
      <c r="M20" s="62" t="s">
        <v>16</v>
      </c>
      <c r="N20" s="62"/>
      <c r="O20" s="64" t="s">
        <v>30</v>
      </c>
      <c r="P20" s="65"/>
      <c r="Q20" s="63" t="s">
        <v>31</v>
      </c>
      <c r="R20" s="63"/>
      <c r="S20" s="62" t="s">
        <v>18</v>
      </c>
      <c r="T20" s="62"/>
      <c r="U20" s="64" t="s">
        <v>32</v>
      </c>
      <c r="V20" s="65"/>
    </row>
    <row r="21" spans="1:22" ht="15">
      <c r="A21" s="2">
        <v>5</v>
      </c>
      <c r="B21" s="2" t="s">
        <v>19</v>
      </c>
      <c r="C21">
        <f>A21*3</f>
        <v>15</v>
      </c>
      <c r="D21" t="s">
        <v>19</v>
      </c>
      <c r="E21" s="2" t="s">
        <v>19</v>
      </c>
      <c r="F21" s="2" t="s">
        <v>19</v>
      </c>
      <c r="G21" s="4" t="s">
        <v>19</v>
      </c>
      <c r="H21" s="4" t="s">
        <v>19</v>
      </c>
      <c r="I21" s="2">
        <v>4</v>
      </c>
      <c r="J21" s="2" t="s">
        <v>19</v>
      </c>
      <c r="K21">
        <f>I21*4</f>
        <v>16</v>
      </c>
      <c r="L21" t="s">
        <v>19</v>
      </c>
      <c r="M21" s="2" t="s">
        <v>19</v>
      </c>
      <c r="N21" s="2" t="s">
        <v>19</v>
      </c>
      <c r="O21" t="s">
        <v>19</v>
      </c>
      <c r="P21" t="s">
        <v>19</v>
      </c>
      <c r="Q21" s="5" t="s">
        <v>19</v>
      </c>
      <c r="R21" s="5" t="s">
        <v>19</v>
      </c>
      <c r="S21" s="2" t="s">
        <v>19</v>
      </c>
      <c r="T21" s="2" t="s">
        <v>19</v>
      </c>
      <c r="U21" t="s">
        <v>19</v>
      </c>
      <c r="V21" t="s">
        <v>19</v>
      </c>
    </row>
    <row r="22" spans="1:22" ht="15">
      <c r="A22" s="2">
        <v>28</v>
      </c>
      <c r="B22" s="2">
        <v>22</v>
      </c>
      <c r="C22">
        <f aca="true" t="shared" si="2" ref="C22:C29">A22*3</f>
        <v>84</v>
      </c>
      <c r="D22">
        <f>B22*3</f>
        <v>66</v>
      </c>
      <c r="E22" s="2">
        <v>19</v>
      </c>
      <c r="F22" s="2">
        <v>22</v>
      </c>
      <c r="G22">
        <f>E22*5</f>
        <v>95</v>
      </c>
      <c r="H22">
        <f>F22*5</f>
        <v>110</v>
      </c>
      <c r="I22" s="2">
        <v>28</v>
      </c>
      <c r="J22" s="2">
        <v>22</v>
      </c>
      <c r="K22">
        <f aca="true" t="shared" si="3" ref="K22:K29">I22*4</f>
        <v>112</v>
      </c>
      <c r="L22">
        <f aca="true" t="shared" si="4" ref="L22:L29">J22*4</f>
        <v>88</v>
      </c>
      <c r="M22" s="2">
        <v>8</v>
      </c>
      <c r="N22" s="2">
        <v>11</v>
      </c>
      <c r="O22">
        <f aca="true" t="shared" si="5" ref="O22:O29">M22*3</f>
        <v>24</v>
      </c>
      <c r="P22">
        <f aca="true" t="shared" si="6" ref="P22:P29">N22*3</f>
        <v>33</v>
      </c>
      <c r="Q22" s="5">
        <v>4</v>
      </c>
      <c r="R22" s="5">
        <v>4</v>
      </c>
      <c r="S22" s="2">
        <v>5</v>
      </c>
      <c r="T22" s="2">
        <v>5</v>
      </c>
      <c r="U22">
        <f aca="true" t="shared" si="7" ref="U22:U29">Q22*S22</f>
        <v>20</v>
      </c>
      <c r="V22">
        <f>R22*T22</f>
        <v>20</v>
      </c>
    </row>
    <row r="23" spans="1:22" ht="15">
      <c r="A23" s="2">
        <v>14</v>
      </c>
      <c r="B23" s="2">
        <v>4</v>
      </c>
      <c r="C23">
        <f t="shared" si="2"/>
        <v>42</v>
      </c>
      <c r="D23">
        <f aca="true" t="shared" si="8" ref="D23:D29">B23*3</f>
        <v>12</v>
      </c>
      <c r="E23" s="2">
        <v>6</v>
      </c>
      <c r="F23" s="2">
        <v>4</v>
      </c>
      <c r="G23">
        <f aca="true" t="shared" si="9" ref="G23:G29">E23*5</f>
        <v>30</v>
      </c>
      <c r="H23">
        <f aca="true" t="shared" si="10" ref="H23:H29">F23*5</f>
        <v>20</v>
      </c>
      <c r="I23" s="2">
        <v>14</v>
      </c>
      <c r="J23" s="2">
        <v>4</v>
      </c>
      <c r="K23">
        <f t="shared" si="3"/>
        <v>56</v>
      </c>
      <c r="L23">
        <f t="shared" si="4"/>
        <v>16</v>
      </c>
      <c r="M23" s="2">
        <v>6</v>
      </c>
      <c r="N23" s="2">
        <v>4</v>
      </c>
      <c r="O23">
        <f t="shared" si="5"/>
        <v>18</v>
      </c>
      <c r="P23">
        <f t="shared" si="6"/>
        <v>12</v>
      </c>
      <c r="Q23" s="5">
        <v>2.5</v>
      </c>
      <c r="R23" s="5">
        <v>2.5</v>
      </c>
      <c r="S23" s="2">
        <v>6</v>
      </c>
      <c r="T23" s="2">
        <v>12</v>
      </c>
      <c r="U23">
        <f t="shared" si="7"/>
        <v>15</v>
      </c>
      <c r="V23">
        <f>R23*T23</f>
        <v>30</v>
      </c>
    </row>
    <row r="24" spans="1:22" ht="15">
      <c r="A24" s="2">
        <v>19</v>
      </c>
      <c r="B24" s="2">
        <v>13</v>
      </c>
      <c r="C24">
        <f t="shared" si="2"/>
        <v>57</v>
      </c>
      <c r="D24">
        <f t="shared" si="8"/>
        <v>39</v>
      </c>
      <c r="E24" s="2">
        <v>15</v>
      </c>
      <c r="F24" s="2">
        <v>13</v>
      </c>
      <c r="G24">
        <f t="shared" si="9"/>
        <v>75</v>
      </c>
      <c r="H24">
        <f t="shared" si="10"/>
        <v>65</v>
      </c>
      <c r="I24" s="2">
        <v>19</v>
      </c>
      <c r="J24" s="2">
        <v>13</v>
      </c>
      <c r="K24">
        <f t="shared" si="3"/>
        <v>76</v>
      </c>
      <c r="L24">
        <f t="shared" si="4"/>
        <v>52</v>
      </c>
      <c r="M24" s="2">
        <v>5</v>
      </c>
      <c r="N24" s="2">
        <v>6</v>
      </c>
      <c r="O24">
        <f t="shared" si="5"/>
        <v>15</v>
      </c>
      <c r="P24">
        <f t="shared" si="6"/>
        <v>18</v>
      </c>
      <c r="Q24" s="5">
        <v>3.5</v>
      </c>
      <c r="R24" s="5">
        <v>4</v>
      </c>
      <c r="S24" s="2">
        <v>5</v>
      </c>
      <c r="T24" s="2">
        <v>5</v>
      </c>
      <c r="U24">
        <f t="shared" si="7"/>
        <v>17.5</v>
      </c>
      <c r="V24">
        <f>R24*T24</f>
        <v>20</v>
      </c>
    </row>
    <row r="25" spans="1:22" ht="15">
      <c r="A25" s="2">
        <v>22</v>
      </c>
      <c r="B25" s="2">
        <v>14</v>
      </c>
      <c r="C25">
        <f t="shared" si="2"/>
        <v>66</v>
      </c>
      <c r="D25">
        <f t="shared" si="8"/>
        <v>42</v>
      </c>
      <c r="E25" s="2">
        <v>11</v>
      </c>
      <c r="F25" s="2">
        <v>14</v>
      </c>
      <c r="G25">
        <f t="shared" si="9"/>
        <v>55</v>
      </c>
      <c r="H25">
        <f t="shared" si="10"/>
        <v>70</v>
      </c>
      <c r="I25" s="2">
        <v>22</v>
      </c>
      <c r="J25" s="2">
        <v>14</v>
      </c>
      <c r="K25">
        <f t="shared" si="3"/>
        <v>88</v>
      </c>
      <c r="L25">
        <f t="shared" si="4"/>
        <v>56</v>
      </c>
      <c r="M25" s="2">
        <v>8</v>
      </c>
      <c r="N25" s="2">
        <v>7</v>
      </c>
      <c r="O25">
        <f t="shared" si="5"/>
        <v>24</v>
      </c>
      <c r="P25">
        <f t="shared" si="6"/>
        <v>21</v>
      </c>
      <c r="Q25" s="5">
        <v>3.5</v>
      </c>
      <c r="R25" s="5">
        <v>3.5</v>
      </c>
      <c r="S25" s="2">
        <v>7</v>
      </c>
      <c r="T25" s="2">
        <v>5</v>
      </c>
      <c r="U25">
        <f t="shared" si="7"/>
        <v>24.5</v>
      </c>
      <c r="V25">
        <f>R25*T25</f>
        <v>17.5</v>
      </c>
    </row>
    <row r="26" spans="1:22" ht="15">
      <c r="A26" s="2">
        <v>5</v>
      </c>
      <c r="B26" s="2" t="s">
        <v>19</v>
      </c>
      <c r="C26">
        <f t="shared" si="2"/>
        <v>15</v>
      </c>
      <c r="D26" t="s">
        <v>19</v>
      </c>
      <c r="E26" s="2" t="s">
        <v>19</v>
      </c>
      <c r="F26" s="2" t="s">
        <v>19</v>
      </c>
      <c r="G26" t="s">
        <v>19</v>
      </c>
      <c r="H26" t="s">
        <v>19</v>
      </c>
      <c r="I26" s="2">
        <v>5</v>
      </c>
      <c r="J26" s="2" t="s">
        <v>19</v>
      </c>
      <c r="K26">
        <f t="shared" si="3"/>
        <v>20</v>
      </c>
      <c r="L26" t="s">
        <v>19</v>
      </c>
      <c r="M26" s="2" t="s">
        <v>19</v>
      </c>
      <c r="N26" s="2" t="s">
        <v>19</v>
      </c>
      <c r="O26" t="s">
        <v>19</v>
      </c>
      <c r="P26" t="s">
        <v>19</v>
      </c>
      <c r="Q26" s="5" t="s">
        <v>19</v>
      </c>
      <c r="R26" s="5" t="s">
        <v>19</v>
      </c>
      <c r="S26" s="2" t="s">
        <v>19</v>
      </c>
      <c r="T26" s="2" t="s">
        <v>19</v>
      </c>
      <c r="U26" t="s">
        <v>19</v>
      </c>
      <c r="V26" t="s">
        <v>19</v>
      </c>
    </row>
    <row r="27" spans="1:22" ht="15">
      <c r="A27" s="2">
        <v>4</v>
      </c>
      <c r="B27" s="2" t="s">
        <v>19</v>
      </c>
      <c r="C27">
        <f t="shared" si="2"/>
        <v>12</v>
      </c>
      <c r="D27" t="s">
        <v>19</v>
      </c>
      <c r="E27" s="2" t="s">
        <v>19</v>
      </c>
      <c r="F27" s="2" t="s">
        <v>19</v>
      </c>
      <c r="G27" t="s">
        <v>19</v>
      </c>
      <c r="H27" t="s">
        <v>19</v>
      </c>
      <c r="I27" s="2">
        <v>4</v>
      </c>
      <c r="J27" s="2" t="s">
        <v>19</v>
      </c>
      <c r="K27">
        <f t="shared" si="3"/>
        <v>16</v>
      </c>
      <c r="L27" t="s">
        <v>19</v>
      </c>
      <c r="M27" s="2" t="s">
        <v>19</v>
      </c>
      <c r="N27" s="2" t="s">
        <v>19</v>
      </c>
      <c r="O27" t="s">
        <v>19</v>
      </c>
      <c r="P27" t="s">
        <v>19</v>
      </c>
      <c r="Q27" s="5" t="s">
        <v>19</v>
      </c>
      <c r="R27" s="5" t="s">
        <v>19</v>
      </c>
      <c r="S27" s="2" t="s">
        <v>19</v>
      </c>
      <c r="T27" s="2" t="s">
        <v>19</v>
      </c>
      <c r="U27" t="s">
        <v>19</v>
      </c>
      <c r="V27" t="s">
        <v>19</v>
      </c>
    </row>
    <row r="28" spans="1:22" ht="15">
      <c r="A28" s="2">
        <v>4</v>
      </c>
      <c r="B28" s="2">
        <v>2</v>
      </c>
      <c r="C28">
        <f t="shared" si="2"/>
        <v>12</v>
      </c>
      <c r="D28">
        <f t="shared" si="8"/>
        <v>6</v>
      </c>
      <c r="E28" s="2">
        <v>4</v>
      </c>
      <c r="F28" s="2">
        <v>2</v>
      </c>
      <c r="G28">
        <f t="shared" si="9"/>
        <v>20</v>
      </c>
      <c r="H28">
        <f t="shared" si="10"/>
        <v>10</v>
      </c>
      <c r="I28" s="2">
        <v>4</v>
      </c>
      <c r="J28" s="2">
        <v>2</v>
      </c>
      <c r="K28">
        <f t="shared" si="3"/>
        <v>16</v>
      </c>
      <c r="L28">
        <f t="shared" si="4"/>
        <v>8</v>
      </c>
      <c r="M28" s="2">
        <v>4</v>
      </c>
      <c r="N28" s="2" t="s">
        <v>19</v>
      </c>
      <c r="O28">
        <f t="shared" si="5"/>
        <v>12</v>
      </c>
      <c r="P28" t="s">
        <v>19</v>
      </c>
      <c r="Q28" s="5" t="s">
        <v>19</v>
      </c>
      <c r="R28" s="5" t="s">
        <v>19</v>
      </c>
      <c r="S28" s="2" t="s">
        <v>19</v>
      </c>
      <c r="T28" s="2" t="s">
        <v>19</v>
      </c>
      <c r="U28" t="s">
        <v>19</v>
      </c>
      <c r="V28" t="s">
        <v>19</v>
      </c>
    </row>
    <row r="29" spans="1:22" ht="15">
      <c r="A29" s="2">
        <v>4</v>
      </c>
      <c r="B29" s="2">
        <v>4</v>
      </c>
      <c r="C29">
        <f t="shared" si="2"/>
        <v>12</v>
      </c>
      <c r="D29">
        <f t="shared" si="8"/>
        <v>12</v>
      </c>
      <c r="E29" s="2">
        <v>4</v>
      </c>
      <c r="F29" s="2">
        <v>4</v>
      </c>
      <c r="G29">
        <f t="shared" si="9"/>
        <v>20</v>
      </c>
      <c r="H29">
        <f t="shared" si="10"/>
        <v>20</v>
      </c>
      <c r="I29" s="2">
        <v>2</v>
      </c>
      <c r="J29" s="2">
        <v>4</v>
      </c>
      <c r="K29">
        <f t="shared" si="3"/>
        <v>8</v>
      </c>
      <c r="L29">
        <f t="shared" si="4"/>
        <v>16</v>
      </c>
      <c r="M29" s="2">
        <v>2</v>
      </c>
      <c r="N29" s="2">
        <v>2</v>
      </c>
      <c r="O29">
        <f t="shared" si="5"/>
        <v>6</v>
      </c>
      <c r="P29">
        <f t="shared" si="6"/>
        <v>6</v>
      </c>
      <c r="Q29" s="5">
        <v>0.5</v>
      </c>
      <c r="R29" s="5" t="s">
        <v>19</v>
      </c>
      <c r="S29" s="2">
        <v>1</v>
      </c>
      <c r="T29" s="2" t="s">
        <v>19</v>
      </c>
      <c r="U29">
        <f t="shared" si="7"/>
        <v>0.5</v>
      </c>
      <c r="V29" t="s">
        <v>19</v>
      </c>
    </row>
    <row r="30" spans="1:22" ht="15">
      <c r="A30" s="66" t="s">
        <v>20</v>
      </c>
      <c r="B30" s="66"/>
      <c r="C30">
        <f>SUM(C21:C29)</f>
        <v>315</v>
      </c>
      <c r="D30">
        <f>SUM(D21:D29)</f>
        <v>177</v>
      </c>
      <c r="G30">
        <f>SUM(G21:G29)</f>
        <v>295</v>
      </c>
      <c r="H30">
        <f>SUM(H21:H29)</f>
        <v>295</v>
      </c>
      <c r="K30">
        <f>SUM(K21:K29)</f>
        <v>408</v>
      </c>
      <c r="L30">
        <f>SUM(L21:L29)</f>
        <v>236</v>
      </c>
      <c r="O30">
        <f>SUM(O21:O29)</f>
        <v>99</v>
      </c>
      <c r="P30">
        <f>SUM(P21:P29)</f>
        <v>90</v>
      </c>
      <c r="U30">
        <f>SUM(U21:U29)</f>
        <v>77.5</v>
      </c>
      <c r="V30">
        <f>SUM(V22:V29)</f>
        <v>87.5</v>
      </c>
    </row>
    <row r="33" spans="4:7" ht="15">
      <c r="D33" s="6" t="s">
        <v>99</v>
      </c>
      <c r="E33" s="20">
        <f>SUM(C30,G30,K30,O30,U30)</f>
        <v>1194.5</v>
      </c>
      <c r="F33" s="8" t="s">
        <v>108</v>
      </c>
      <c r="G33" s="2">
        <f>SUM(D30,H30,L30,P30,V30)</f>
        <v>885.5</v>
      </c>
    </row>
    <row r="34" spans="4:7" ht="15">
      <c r="D34" s="2" t="s">
        <v>100</v>
      </c>
      <c r="E34" s="20">
        <f>E33/B16</f>
        <v>11.376190476190477</v>
      </c>
      <c r="F34" s="2" t="s">
        <v>107</v>
      </c>
      <c r="G34" s="9">
        <f>G33/D16</f>
        <v>15.008474576271187</v>
      </c>
    </row>
    <row r="35" spans="4:7" ht="15">
      <c r="D35" s="2" t="s">
        <v>101</v>
      </c>
      <c r="E35" s="20">
        <f>(E34*E39+G34*E40)/365</f>
        <v>12.480802901146527</v>
      </c>
      <c r="F35" s="10"/>
      <c r="G35" s="10"/>
    </row>
    <row r="36" spans="4:7" ht="15">
      <c r="D36" s="7" t="s">
        <v>102</v>
      </c>
      <c r="E36" s="20">
        <f>E33*E39+G33*E40</f>
        <v>401693.5</v>
      </c>
      <c r="F36" s="10"/>
      <c r="G36" s="10"/>
    </row>
    <row r="37" spans="4:7" ht="15">
      <c r="D37" s="7" t="s">
        <v>103</v>
      </c>
      <c r="E37" s="20">
        <f>E36/E38</f>
        <v>3060.521904761905</v>
      </c>
      <c r="F37" s="10"/>
      <c r="G37" s="10"/>
    </row>
    <row r="38" spans="4:7" ht="15">
      <c r="D38" s="7" t="s">
        <v>106</v>
      </c>
      <c r="E38" s="23">
        <f>B16/0.8</f>
        <v>131.25</v>
      </c>
      <c r="F38" s="10"/>
      <c r="G38" s="10"/>
    </row>
    <row r="39" spans="4:7" ht="15">
      <c r="D39" s="7" t="s">
        <v>104</v>
      </c>
      <c r="E39" s="20">
        <v>254</v>
      </c>
      <c r="F39" s="10"/>
      <c r="G39" s="10"/>
    </row>
    <row r="40" spans="4:7" ht="15">
      <c r="D40" s="7" t="s">
        <v>105</v>
      </c>
      <c r="E40" s="20">
        <v>111</v>
      </c>
      <c r="F40" s="10"/>
      <c r="G40" s="10"/>
    </row>
    <row r="43" spans="2:8" ht="15">
      <c r="B43" s="67" t="s">
        <v>109</v>
      </c>
      <c r="C43" s="67"/>
      <c r="D43" s="67"/>
      <c r="E43" s="67"/>
      <c r="F43" s="67"/>
      <c r="G43" s="67"/>
      <c r="H43" s="67"/>
    </row>
    <row r="44" spans="1:11" ht="15">
      <c r="A44" s="63" t="s">
        <v>1</v>
      </c>
      <c r="B44" s="58" t="s">
        <v>2</v>
      </c>
      <c r="C44" s="58"/>
      <c r="D44" s="57" t="s">
        <v>3</v>
      </c>
      <c r="E44" s="57"/>
      <c r="F44" s="58" t="s">
        <v>4</v>
      </c>
      <c r="G44" s="58"/>
      <c r="H44" s="57" t="s">
        <v>5</v>
      </c>
      <c r="I44" s="57"/>
      <c r="J44" s="58" t="s">
        <v>6</v>
      </c>
      <c r="K44" s="58"/>
    </row>
    <row r="45" spans="1:11" ht="15">
      <c r="A45" s="63"/>
      <c r="B45" s="62" t="s">
        <v>33</v>
      </c>
      <c r="C45" s="62"/>
      <c r="D45" s="62" t="s">
        <v>34</v>
      </c>
      <c r="E45" s="62"/>
      <c r="F45" s="62" t="s">
        <v>35</v>
      </c>
      <c r="G45" s="62"/>
      <c r="H45" s="62" t="s">
        <v>36</v>
      </c>
      <c r="I45" s="62"/>
      <c r="J45" s="62" t="s">
        <v>37</v>
      </c>
      <c r="K45" s="62"/>
    </row>
    <row r="46" spans="1:11" ht="15">
      <c r="A46" s="23">
        <v>18.835443037974684</v>
      </c>
      <c r="B46" s="20">
        <f>A46*C21</f>
        <v>282.53164556962025</v>
      </c>
      <c r="C46" s="20" t="s">
        <v>19</v>
      </c>
      <c r="D46" s="20" t="s">
        <v>19</v>
      </c>
      <c r="E46" s="20" t="s">
        <v>19</v>
      </c>
      <c r="F46" s="20">
        <f>A46*K21</f>
        <v>301.36708860759495</v>
      </c>
      <c r="G46" s="20" t="s">
        <v>19</v>
      </c>
      <c r="H46" s="20" t="s">
        <v>19</v>
      </c>
      <c r="I46" s="20" t="s">
        <v>19</v>
      </c>
      <c r="J46" s="20" t="s">
        <v>19</v>
      </c>
      <c r="K46" s="20" t="s">
        <v>19</v>
      </c>
    </row>
    <row r="47" spans="1:11" ht="15">
      <c r="A47" s="23">
        <v>17.28440366972477</v>
      </c>
      <c r="B47" s="20">
        <f aca="true" t="shared" si="11" ref="B47:B54">A47*C22</f>
        <v>1451.8899082568807</v>
      </c>
      <c r="C47" s="20">
        <f aca="true" t="shared" si="12" ref="C47:C54">A47*D22</f>
        <v>1140.7706422018348</v>
      </c>
      <c r="D47" s="20">
        <f aca="true" t="shared" si="13" ref="D47:D54">A47*G22</f>
        <v>1642.0183486238532</v>
      </c>
      <c r="E47" s="20">
        <f aca="true" t="shared" si="14" ref="E47:E54">A47*H22</f>
        <v>1901.2844036697247</v>
      </c>
      <c r="F47" s="20">
        <f aca="true" t="shared" si="15" ref="F47:F54">A47*K22</f>
        <v>1935.8532110091744</v>
      </c>
      <c r="G47" s="20">
        <f aca="true" t="shared" si="16" ref="G47:G54">A47*L22</f>
        <v>1521.0275229357799</v>
      </c>
      <c r="H47" s="20">
        <f aca="true" t="shared" si="17" ref="H47:H54">A47*O22</f>
        <v>414.82568807339453</v>
      </c>
      <c r="I47" s="20">
        <f aca="true" t="shared" si="18" ref="I47:I54">A47*P22</f>
        <v>570.3853211009174</v>
      </c>
      <c r="J47" s="20">
        <f aca="true" t="shared" si="19" ref="J47:J54">A47*U22</f>
        <v>345.6880733944954</v>
      </c>
      <c r="K47" s="20">
        <f>A47*V22</f>
        <v>345.6880733944954</v>
      </c>
    </row>
    <row r="48" spans="1:11" ht="15">
      <c r="A48" s="23">
        <v>19.432835820895523</v>
      </c>
      <c r="B48" s="20">
        <f t="shared" si="11"/>
        <v>816.179104477612</v>
      </c>
      <c r="C48" s="20">
        <f t="shared" si="12"/>
        <v>233.1940298507463</v>
      </c>
      <c r="D48" s="20">
        <f t="shared" si="13"/>
        <v>582.9850746268656</v>
      </c>
      <c r="E48" s="20">
        <f t="shared" si="14"/>
        <v>388.65671641791045</v>
      </c>
      <c r="F48" s="20">
        <f t="shared" si="15"/>
        <v>1088.2388059701493</v>
      </c>
      <c r="G48" s="20">
        <f t="shared" si="16"/>
        <v>310.92537313432837</v>
      </c>
      <c r="H48" s="20">
        <f t="shared" si="17"/>
        <v>349.7910447761194</v>
      </c>
      <c r="I48" s="20">
        <f t="shared" si="18"/>
        <v>233.1940298507463</v>
      </c>
      <c r="J48" s="20">
        <f t="shared" si="19"/>
        <v>291.4925373134328</v>
      </c>
      <c r="K48" s="20">
        <f>A48*V23</f>
        <v>582.9850746268656</v>
      </c>
    </row>
    <row r="49" spans="1:11" ht="15">
      <c r="A49" s="23">
        <v>16.4070796460177</v>
      </c>
      <c r="B49" s="20">
        <f t="shared" si="11"/>
        <v>935.2035398230089</v>
      </c>
      <c r="C49" s="20">
        <f t="shared" si="12"/>
        <v>639.8761061946902</v>
      </c>
      <c r="D49" s="20">
        <f t="shared" si="13"/>
        <v>1230.5309734513276</v>
      </c>
      <c r="E49" s="20">
        <f t="shared" si="14"/>
        <v>1066.4601769911505</v>
      </c>
      <c r="F49" s="20">
        <f t="shared" si="15"/>
        <v>1246.9380530973451</v>
      </c>
      <c r="G49" s="20">
        <f t="shared" si="16"/>
        <v>853.1681415929204</v>
      </c>
      <c r="H49" s="20">
        <f t="shared" si="17"/>
        <v>246.10619469026548</v>
      </c>
      <c r="I49" s="20">
        <f t="shared" si="18"/>
        <v>295.3274336283186</v>
      </c>
      <c r="J49" s="20">
        <f t="shared" si="19"/>
        <v>287.12389380530976</v>
      </c>
      <c r="K49" s="20">
        <f>A49*V24</f>
        <v>328.141592920354</v>
      </c>
    </row>
    <row r="50" spans="1:11" ht="15">
      <c r="A50" s="23">
        <v>18.220183486238533</v>
      </c>
      <c r="B50" s="20">
        <f t="shared" si="11"/>
        <v>1202.532110091743</v>
      </c>
      <c r="C50" s="20">
        <f t="shared" si="12"/>
        <v>765.2477064220184</v>
      </c>
      <c r="D50" s="20">
        <f t="shared" si="13"/>
        <v>1002.1100917431193</v>
      </c>
      <c r="E50" s="20">
        <f t="shared" si="14"/>
        <v>1275.4128440366974</v>
      </c>
      <c r="F50" s="20">
        <f t="shared" si="15"/>
        <v>1603.3761467889908</v>
      </c>
      <c r="G50" s="20">
        <f t="shared" si="16"/>
        <v>1020.3302752293578</v>
      </c>
      <c r="H50" s="20">
        <f t="shared" si="17"/>
        <v>437.2844036697248</v>
      </c>
      <c r="I50" s="20">
        <f t="shared" si="18"/>
        <v>382.6238532110092</v>
      </c>
      <c r="J50" s="20">
        <f t="shared" si="19"/>
        <v>446.39449541284404</v>
      </c>
      <c r="K50" s="20">
        <f>A50*V25</f>
        <v>318.85321100917434</v>
      </c>
    </row>
    <row r="51" spans="1:11" ht="15">
      <c r="A51" s="23">
        <v>18.692307692307693</v>
      </c>
      <c r="B51" s="20">
        <f t="shared" si="11"/>
        <v>280.3846153846154</v>
      </c>
      <c r="C51" s="20" t="s">
        <v>19</v>
      </c>
      <c r="D51" s="20" t="s">
        <v>19</v>
      </c>
      <c r="E51" s="20" t="s">
        <v>19</v>
      </c>
      <c r="F51" s="20">
        <f t="shared" si="15"/>
        <v>373.84615384615387</v>
      </c>
      <c r="G51" s="20" t="s">
        <v>19</v>
      </c>
      <c r="H51" s="20" t="s">
        <v>19</v>
      </c>
      <c r="I51" s="20" t="s">
        <v>19</v>
      </c>
      <c r="J51" s="20" t="s">
        <v>19</v>
      </c>
      <c r="K51" s="20" t="s">
        <v>19</v>
      </c>
    </row>
    <row r="52" spans="1:11" ht="15">
      <c r="A52" s="23">
        <v>17.941176470588236</v>
      </c>
      <c r="B52" s="20">
        <f t="shared" si="11"/>
        <v>215.29411764705884</v>
      </c>
      <c r="C52" s="20" t="s">
        <v>19</v>
      </c>
      <c r="D52" s="20" t="s">
        <v>19</v>
      </c>
      <c r="E52" s="20" t="s">
        <v>19</v>
      </c>
      <c r="F52" s="20">
        <f t="shared" si="15"/>
        <v>287.05882352941177</v>
      </c>
      <c r="G52" s="20" t="s">
        <v>19</v>
      </c>
      <c r="H52" s="20" t="s">
        <v>19</v>
      </c>
      <c r="I52" s="20" t="s">
        <v>19</v>
      </c>
      <c r="J52" s="20" t="s">
        <v>19</v>
      </c>
      <c r="K52" s="20" t="s">
        <v>19</v>
      </c>
    </row>
    <row r="53" spans="1:11" ht="15">
      <c r="A53" s="23">
        <v>17.386363636363637</v>
      </c>
      <c r="B53" s="20">
        <f>A53*C28</f>
        <v>208.63636363636363</v>
      </c>
      <c r="C53" s="20">
        <f t="shared" si="12"/>
        <v>104.31818181818181</v>
      </c>
      <c r="D53" s="20">
        <f t="shared" si="13"/>
        <v>347.72727272727275</v>
      </c>
      <c r="E53" s="20">
        <f t="shared" si="14"/>
        <v>173.86363636363637</v>
      </c>
      <c r="F53" s="20">
        <f t="shared" si="15"/>
        <v>278.1818181818182</v>
      </c>
      <c r="G53" s="20">
        <f t="shared" si="16"/>
        <v>139.0909090909091</v>
      </c>
      <c r="H53" s="20">
        <f t="shared" si="17"/>
        <v>208.63636363636363</v>
      </c>
      <c r="I53" s="20" t="s">
        <v>19</v>
      </c>
      <c r="J53" s="20" t="s">
        <v>19</v>
      </c>
      <c r="K53" s="20" t="s">
        <v>19</v>
      </c>
    </row>
    <row r="54" spans="1:11" ht="15">
      <c r="A54" s="23">
        <v>17.104477611940297</v>
      </c>
      <c r="B54" s="20">
        <f t="shared" si="11"/>
        <v>205.25373134328356</v>
      </c>
      <c r="C54" s="20">
        <f t="shared" si="12"/>
        <v>205.25373134328356</v>
      </c>
      <c r="D54" s="20">
        <f t="shared" si="13"/>
        <v>342.08955223880594</v>
      </c>
      <c r="E54" s="20">
        <f t="shared" si="14"/>
        <v>342.08955223880594</v>
      </c>
      <c r="F54" s="20">
        <f t="shared" si="15"/>
        <v>136.83582089552237</v>
      </c>
      <c r="G54" s="20">
        <f t="shared" si="16"/>
        <v>273.67164179104475</v>
      </c>
      <c r="H54" s="20">
        <f t="shared" si="17"/>
        <v>102.62686567164178</v>
      </c>
      <c r="I54" s="20">
        <f t="shared" si="18"/>
        <v>102.62686567164178</v>
      </c>
      <c r="J54" s="20">
        <f t="shared" si="19"/>
        <v>8.552238805970148</v>
      </c>
      <c r="K54" s="20" t="s">
        <v>19</v>
      </c>
    </row>
    <row r="55" spans="1:11" ht="15">
      <c r="A55" s="2" t="s">
        <v>39</v>
      </c>
      <c r="B55" s="20">
        <f aca="true" t="shared" si="20" ref="B55:K55">SUM(B46:B54)</f>
        <v>5597.905136230185</v>
      </c>
      <c r="C55" s="20">
        <f t="shared" si="20"/>
        <v>3088.6603978307553</v>
      </c>
      <c r="D55" s="20">
        <f t="shared" si="20"/>
        <v>5147.461313411244</v>
      </c>
      <c r="E55" s="20">
        <f t="shared" si="20"/>
        <v>5147.767329717924</v>
      </c>
      <c r="F55" s="20">
        <f t="shared" si="20"/>
        <v>7251.695921926161</v>
      </c>
      <c r="G55" s="20">
        <f t="shared" si="20"/>
        <v>4118.21386377434</v>
      </c>
      <c r="H55" s="20">
        <f t="shared" si="20"/>
        <v>1759.2705605175095</v>
      </c>
      <c r="I55" s="20">
        <f t="shared" si="20"/>
        <v>1584.1575034626333</v>
      </c>
      <c r="J55" s="20">
        <f t="shared" si="20"/>
        <v>1379.2512387320521</v>
      </c>
      <c r="K55" s="20">
        <f t="shared" si="20"/>
        <v>1575.6679519508896</v>
      </c>
    </row>
    <row r="58" spans="1:2" ht="15">
      <c r="A58" s="11" t="s">
        <v>110</v>
      </c>
      <c r="B58" s="75">
        <f>SUM(B55,D55,F55,H55,J55)</f>
        <v>21135.584170817154</v>
      </c>
    </row>
    <row r="59" spans="1:2" ht="15">
      <c r="A59" s="12" t="s">
        <v>111</v>
      </c>
      <c r="B59" s="75">
        <f>SUM(C55,E55,G55,I55,K55)</f>
        <v>15514.467046736541</v>
      </c>
    </row>
    <row r="60" spans="1:2" ht="15">
      <c r="A60" s="12" t="s">
        <v>112</v>
      </c>
      <c r="B60" s="75">
        <f>B58/B16</f>
        <v>201.29127781730622</v>
      </c>
    </row>
    <row r="61" spans="1:2" ht="15">
      <c r="A61" s="12" t="s">
        <v>113</v>
      </c>
      <c r="B61" s="75">
        <f>B59/D16</f>
        <v>262.95706858875496</v>
      </c>
    </row>
    <row r="62" spans="1:2" ht="15">
      <c r="A62" s="12" t="s">
        <v>114</v>
      </c>
      <c r="B62" s="75">
        <f>(B60*E39+B61*E40)/365</f>
        <v>220.04443610670572</v>
      </c>
    </row>
    <row r="63" spans="1:2" ht="15">
      <c r="A63" s="12" t="s">
        <v>115</v>
      </c>
      <c r="B63" s="75">
        <f>B58*E39+B59*E40</f>
        <v>7090544.221575313</v>
      </c>
    </row>
    <row r="64" spans="1:2" ht="15">
      <c r="A64" s="12" t="s">
        <v>116</v>
      </c>
      <c r="B64" s="75">
        <f>B63/E38</f>
        <v>54023.19406914525</v>
      </c>
    </row>
    <row r="65" spans="4:9" ht="15">
      <c r="D65" s="31"/>
      <c r="E65" s="50" t="s">
        <v>40</v>
      </c>
      <c r="F65" s="50"/>
      <c r="G65" s="50"/>
      <c r="H65" s="50"/>
      <c r="I65" s="50"/>
    </row>
    <row r="67" spans="2:10" ht="15" customHeight="1">
      <c r="B67" s="48" t="s">
        <v>93</v>
      </c>
      <c r="C67" s="48"/>
      <c r="D67" s="48"/>
      <c r="E67" s="48"/>
      <c r="F67" s="48"/>
      <c r="G67" s="48"/>
      <c r="H67" s="48"/>
      <c r="I67" s="48"/>
      <c r="J67" s="48"/>
    </row>
    <row r="68" spans="2:5" ht="15">
      <c r="B68" s="24"/>
      <c r="C68" s="24"/>
      <c r="D68" s="24"/>
      <c r="E68" s="24"/>
    </row>
    <row r="69" spans="2:10" ht="15">
      <c r="B69" s="60" t="s">
        <v>41</v>
      </c>
      <c r="C69" s="60" t="s">
        <v>42</v>
      </c>
      <c r="D69" s="60" t="s">
        <v>43</v>
      </c>
      <c r="E69" s="60" t="s">
        <v>44</v>
      </c>
      <c r="F69" s="60"/>
      <c r="G69" s="60"/>
      <c r="H69" s="60"/>
      <c r="I69" s="60"/>
      <c r="J69" s="51" t="s">
        <v>45</v>
      </c>
    </row>
    <row r="70" spans="2:10" ht="15">
      <c r="B70" s="60"/>
      <c r="C70" s="60"/>
      <c r="D70" s="60"/>
      <c r="E70" s="13" t="s">
        <v>46</v>
      </c>
      <c r="F70" s="13" t="s">
        <v>47</v>
      </c>
      <c r="G70" s="13" t="s">
        <v>48</v>
      </c>
      <c r="H70" s="13" t="s">
        <v>49</v>
      </c>
      <c r="I70" s="13" t="s">
        <v>50</v>
      </c>
      <c r="J70" s="51"/>
    </row>
    <row r="71" spans="2:10" ht="15">
      <c r="B71" s="13">
        <v>200</v>
      </c>
      <c r="C71" s="13" t="s">
        <v>51</v>
      </c>
      <c r="D71" s="13">
        <v>10.1</v>
      </c>
      <c r="E71" s="13">
        <v>1</v>
      </c>
      <c r="F71" s="13">
        <v>1</v>
      </c>
      <c r="G71" s="13">
        <v>1.25</v>
      </c>
      <c r="H71" s="13">
        <v>1</v>
      </c>
      <c r="I71" s="13">
        <v>1.05</v>
      </c>
      <c r="J71" s="14">
        <f>D71*E71*F71*G71*H71*I71</f>
        <v>13.256250000000001</v>
      </c>
    </row>
    <row r="72" spans="2:10" ht="15">
      <c r="B72" s="13">
        <v>202.5</v>
      </c>
      <c r="C72" s="13" t="s">
        <v>51</v>
      </c>
      <c r="D72" s="13">
        <v>10.1</v>
      </c>
      <c r="E72" s="13">
        <v>1</v>
      </c>
      <c r="F72" s="13">
        <v>1</v>
      </c>
      <c r="G72" s="13">
        <v>1.25</v>
      </c>
      <c r="H72" s="13">
        <v>1</v>
      </c>
      <c r="I72" s="13">
        <v>1.05</v>
      </c>
      <c r="J72" s="14">
        <f>D72*E72*F72*G72*H72*I72</f>
        <v>13.256250000000001</v>
      </c>
    </row>
    <row r="73" spans="2:10" ht="15">
      <c r="B73" s="13">
        <v>205</v>
      </c>
      <c r="C73" s="13" t="s">
        <v>52</v>
      </c>
      <c r="D73" s="13">
        <v>32.6</v>
      </c>
      <c r="E73" s="13">
        <v>1</v>
      </c>
      <c r="F73" s="13">
        <v>1</v>
      </c>
      <c r="G73" s="13">
        <v>1.25</v>
      </c>
      <c r="H73" s="13">
        <v>1</v>
      </c>
      <c r="I73" s="13">
        <v>1.05</v>
      </c>
      <c r="J73" s="14">
        <f>D73*E73*F73*G73*H73*I73</f>
        <v>42.7875</v>
      </c>
    </row>
    <row r="74" spans="2:10" ht="15">
      <c r="B74" s="15">
        <v>207.5</v>
      </c>
      <c r="C74" s="15" t="s">
        <v>51</v>
      </c>
      <c r="D74" s="15">
        <v>10.1</v>
      </c>
      <c r="E74" s="13">
        <v>1</v>
      </c>
      <c r="F74" s="13">
        <v>1</v>
      </c>
      <c r="G74" s="13">
        <v>1.25</v>
      </c>
      <c r="H74" s="13">
        <v>1</v>
      </c>
      <c r="I74" s="13">
        <v>1.05</v>
      </c>
      <c r="J74" s="14">
        <f aca="true" t="shared" si="21" ref="J74:J90">D74*E74*F74*G74*H74*I74</f>
        <v>13.256250000000001</v>
      </c>
    </row>
    <row r="75" spans="2:10" ht="15">
      <c r="B75" s="15">
        <v>210</v>
      </c>
      <c r="C75" s="15" t="s">
        <v>51</v>
      </c>
      <c r="D75" s="15">
        <v>10.1</v>
      </c>
      <c r="E75" s="13">
        <v>1</v>
      </c>
      <c r="F75" s="13">
        <v>1</v>
      </c>
      <c r="G75" s="13">
        <v>1.25</v>
      </c>
      <c r="H75" s="13">
        <v>1</v>
      </c>
      <c r="I75" s="13">
        <v>1.05</v>
      </c>
      <c r="J75" s="14">
        <f t="shared" si="21"/>
        <v>13.256250000000001</v>
      </c>
    </row>
    <row r="76" spans="2:10" ht="15">
      <c r="B76" s="15">
        <v>212.5</v>
      </c>
      <c r="C76" s="15" t="s">
        <v>51</v>
      </c>
      <c r="D76" s="15">
        <v>10.1</v>
      </c>
      <c r="E76" s="13">
        <v>1</v>
      </c>
      <c r="F76" s="13">
        <v>1</v>
      </c>
      <c r="G76" s="13">
        <v>1.25</v>
      </c>
      <c r="H76" s="13">
        <v>1</v>
      </c>
      <c r="I76" s="13">
        <v>1.05</v>
      </c>
      <c r="J76" s="14">
        <f t="shared" si="21"/>
        <v>13.256250000000001</v>
      </c>
    </row>
    <row r="77" spans="2:10" ht="30">
      <c r="B77" s="15">
        <v>215</v>
      </c>
      <c r="C77" s="16" t="s">
        <v>53</v>
      </c>
      <c r="D77" s="15">
        <v>39.12</v>
      </c>
      <c r="E77" s="15">
        <v>1</v>
      </c>
      <c r="F77" s="15">
        <v>1</v>
      </c>
      <c r="G77" s="15">
        <v>1</v>
      </c>
      <c r="H77" s="15">
        <v>1</v>
      </c>
      <c r="I77" s="15">
        <v>1.05</v>
      </c>
      <c r="J77" s="17">
        <f t="shared" si="21"/>
        <v>41.076</v>
      </c>
    </row>
    <row r="78" spans="2:10" ht="15">
      <c r="B78" s="13">
        <v>217.5</v>
      </c>
      <c r="C78" s="18" t="s">
        <v>51</v>
      </c>
      <c r="D78" s="16">
        <v>10.1</v>
      </c>
      <c r="E78" s="16">
        <v>1</v>
      </c>
      <c r="F78" s="16">
        <v>1</v>
      </c>
      <c r="G78" s="16">
        <v>1</v>
      </c>
      <c r="H78" s="16">
        <v>1</v>
      </c>
      <c r="I78" s="16">
        <v>1.05</v>
      </c>
      <c r="J78" s="19">
        <f t="shared" si="21"/>
        <v>10.605</v>
      </c>
    </row>
    <row r="79" spans="2:10" ht="15">
      <c r="B79" s="15">
        <v>220</v>
      </c>
      <c r="C79" s="18" t="s">
        <v>51</v>
      </c>
      <c r="D79" s="16">
        <v>10.1</v>
      </c>
      <c r="E79" s="16">
        <v>1</v>
      </c>
      <c r="F79" s="16">
        <v>1</v>
      </c>
      <c r="G79" s="16">
        <v>1</v>
      </c>
      <c r="H79" s="16">
        <v>1</v>
      </c>
      <c r="I79" s="16">
        <v>1.05</v>
      </c>
      <c r="J79" s="19">
        <f t="shared" si="21"/>
        <v>10.605</v>
      </c>
    </row>
    <row r="80" spans="2:10" ht="15">
      <c r="B80" s="15">
        <v>222.5</v>
      </c>
      <c r="C80" s="18" t="s">
        <v>51</v>
      </c>
      <c r="D80" s="16">
        <v>10.1</v>
      </c>
      <c r="E80" s="16">
        <v>1</v>
      </c>
      <c r="F80" s="16">
        <v>1</v>
      </c>
      <c r="G80" s="16">
        <v>1</v>
      </c>
      <c r="H80" s="16">
        <v>1</v>
      </c>
      <c r="I80" s="16">
        <v>1.05</v>
      </c>
      <c r="J80" s="19">
        <f t="shared" si="21"/>
        <v>10.605</v>
      </c>
    </row>
    <row r="81" spans="2:10" ht="15">
      <c r="B81" s="15">
        <v>225</v>
      </c>
      <c r="C81" s="18" t="s">
        <v>52</v>
      </c>
      <c r="D81" s="18">
        <v>32.6</v>
      </c>
      <c r="E81" s="16">
        <v>1</v>
      </c>
      <c r="F81" s="16">
        <v>1</v>
      </c>
      <c r="G81" s="16">
        <v>1</v>
      </c>
      <c r="H81" s="16">
        <v>1</v>
      </c>
      <c r="I81" s="16">
        <v>1.05</v>
      </c>
      <c r="J81" s="19">
        <f t="shared" si="21"/>
        <v>34.230000000000004</v>
      </c>
    </row>
    <row r="82" spans="2:10" ht="15">
      <c r="B82" s="15">
        <v>227.5</v>
      </c>
      <c r="C82" s="18" t="s">
        <v>51</v>
      </c>
      <c r="D82" s="18">
        <v>10.1</v>
      </c>
      <c r="E82" s="16">
        <v>1</v>
      </c>
      <c r="F82" s="16">
        <v>1</v>
      </c>
      <c r="G82" s="16">
        <v>1</v>
      </c>
      <c r="H82" s="16">
        <v>1</v>
      </c>
      <c r="I82" s="16">
        <v>1.05</v>
      </c>
      <c r="J82" s="19">
        <f t="shared" si="21"/>
        <v>10.605</v>
      </c>
    </row>
    <row r="83" spans="2:10" ht="15">
      <c r="B83" s="13">
        <v>230</v>
      </c>
      <c r="C83" s="18" t="s">
        <v>54</v>
      </c>
      <c r="D83" s="18">
        <v>1723</v>
      </c>
      <c r="E83" s="16">
        <v>1</v>
      </c>
      <c r="F83" s="16">
        <v>1</v>
      </c>
      <c r="G83" s="16">
        <v>1</v>
      </c>
      <c r="H83" s="16">
        <v>1</v>
      </c>
      <c r="I83" s="16">
        <v>1.05</v>
      </c>
      <c r="J83" s="19">
        <f t="shared" si="21"/>
        <v>1809.15</v>
      </c>
    </row>
    <row r="84" spans="2:10" ht="15">
      <c r="B84" s="15">
        <v>232.5</v>
      </c>
      <c r="C84" s="18" t="s">
        <v>51</v>
      </c>
      <c r="D84" s="18">
        <v>10.1</v>
      </c>
      <c r="E84" s="16">
        <v>1</v>
      </c>
      <c r="F84" s="16">
        <v>1</v>
      </c>
      <c r="G84" s="16">
        <v>1</v>
      </c>
      <c r="H84" s="16">
        <v>1</v>
      </c>
      <c r="I84" s="16">
        <v>1.05</v>
      </c>
      <c r="J84" s="19">
        <f t="shared" si="21"/>
        <v>10.605</v>
      </c>
    </row>
    <row r="85" spans="2:10" ht="15">
      <c r="B85" s="15">
        <v>235</v>
      </c>
      <c r="C85" s="18" t="s">
        <v>51</v>
      </c>
      <c r="D85" s="18">
        <v>10.1</v>
      </c>
      <c r="E85" s="16">
        <v>1</v>
      </c>
      <c r="F85" s="16">
        <v>1</v>
      </c>
      <c r="G85" s="16">
        <v>1</v>
      </c>
      <c r="H85" s="16">
        <v>1</v>
      </c>
      <c r="I85" s="16">
        <v>1.05</v>
      </c>
      <c r="J85" s="19">
        <f t="shared" si="21"/>
        <v>10.605</v>
      </c>
    </row>
    <row r="86" spans="2:10" ht="15">
      <c r="B86" s="15">
        <v>237.5</v>
      </c>
      <c r="C86" s="18" t="s">
        <v>51</v>
      </c>
      <c r="D86" s="18">
        <v>10.1</v>
      </c>
      <c r="E86" s="16">
        <v>1</v>
      </c>
      <c r="F86" s="16">
        <v>1</v>
      </c>
      <c r="G86" s="16">
        <v>1</v>
      </c>
      <c r="H86" s="16">
        <v>1</v>
      </c>
      <c r="I86" s="16">
        <v>1.05</v>
      </c>
      <c r="J86" s="19">
        <f t="shared" si="21"/>
        <v>10.605</v>
      </c>
    </row>
    <row r="87" spans="2:10" ht="30">
      <c r="B87" s="13">
        <v>240</v>
      </c>
      <c r="C87" s="16" t="s">
        <v>55</v>
      </c>
      <c r="D87" s="16">
        <v>42.38</v>
      </c>
      <c r="E87" s="16">
        <v>1</v>
      </c>
      <c r="F87" s="16">
        <v>1</v>
      </c>
      <c r="G87" s="16">
        <v>1.25</v>
      </c>
      <c r="H87" s="16">
        <v>1</v>
      </c>
      <c r="I87" s="16">
        <v>1.05</v>
      </c>
      <c r="J87" s="19">
        <f t="shared" si="21"/>
        <v>55.62375</v>
      </c>
    </row>
    <row r="88" spans="2:10" ht="15">
      <c r="B88" s="15">
        <v>242.5</v>
      </c>
      <c r="C88" s="16" t="s">
        <v>51</v>
      </c>
      <c r="D88" s="16">
        <v>10.1</v>
      </c>
      <c r="E88" s="16">
        <v>1</v>
      </c>
      <c r="F88" s="16">
        <v>1</v>
      </c>
      <c r="G88" s="16">
        <v>1.25</v>
      </c>
      <c r="H88" s="16">
        <v>1</v>
      </c>
      <c r="I88" s="16">
        <v>1.05</v>
      </c>
      <c r="J88" s="19">
        <f t="shared" si="21"/>
        <v>13.256250000000001</v>
      </c>
    </row>
    <row r="89" spans="2:10" ht="15">
      <c r="B89" s="15">
        <v>245</v>
      </c>
      <c r="C89" s="16" t="s">
        <v>51</v>
      </c>
      <c r="D89" s="16">
        <v>10.1</v>
      </c>
      <c r="E89" s="16">
        <v>1</v>
      </c>
      <c r="F89" s="16">
        <v>1</v>
      </c>
      <c r="G89" s="16">
        <v>1.25</v>
      </c>
      <c r="H89" s="16">
        <v>1</v>
      </c>
      <c r="I89" s="16">
        <v>1.05</v>
      </c>
      <c r="J89" s="19">
        <f t="shared" si="21"/>
        <v>13.256250000000001</v>
      </c>
    </row>
    <row r="90" spans="2:10" ht="15">
      <c r="B90" s="15">
        <v>247.5</v>
      </c>
      <c r="C90" s="16" t="s">
        <v>51</v>
      </c>
      <c r="D90" s="16">
        <v>10.1</v>
      </c>
      <c r="E90" s="16">
        <v>1</v>
      </c>
      <c r="F90" s="16">
        <v>1</v>
      </c>
      <c r="G90" s="16">
        <v>1.25</v>
      </c>
      <c r="H90" s="16">
        <v>1</v>
      </c>
      <c r="I90" s="16">
        <v>1.05</v>
      </c>
      <c r="J90" s="19">
        <f t="shared" si="21"/>
        <v>13.256250000000001</v>
      </c>
    </row>
    <row r="91" spans="2:7" ht="15">
      <c r="B91" s="61" t="s">
        <v>117</v>
      </c>
      <c r="C91" s="61"/>
      <c r="D91" s="61"/>
      <c r="E91" s="61"/>
      <c r="F91" s="61"/>
      <c r="G91" s="61"/>
    </row>
    <row r="92" spans="2:13" ht="15">
      <c r="B92" s="2"/>
      <c r="C92" s="2" t="s">
        <v>56</v>
      </c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ht="15">
      <c r="B93" s="2" t="s">
        <v>57</v>
      </c>
      <c r="C93" s="2" t="s">
        <v>58</v>
      </c>
      <c r="D93" s="2"/>
      <c r="E93" s="2"/>
      <c r="F93" s="2"/>
      <c r="G93" s="2"/>
      <c r="H93" s="2"/>
      <c r="I93" s="2" t="s">
        <v>59</v>
      </c>
      <c r="J93" s="2"/>
      <c r="K93" s="2"/>
      <c r="L93" s="2"/>
      <c r="M93" s="2"/>
    </row>
    <row r="94" spans="2:13" ht="15">
      <c r="B94" s="2"/>
      <c r="C94" s="2" t="s">
        <v>60</v>
      </c>
      <c r="D94" s="2"/>
      <c r="E94" s="2"/>
      <c r="F94" s="2" t="s">
        <v>61</v>
      </c>
      <c r="G94" s="2"/>
      <c r="H94" s="2"/>
      <c r="I94" s="2" t="s">
        <v>62</v>
      </c>
      <c r="J94" s="2" t="s">
        <v>61</v>
      </c>
      <c r="K94" s="2"/>
      <c r="L94" s="2"/>
      <c r="M94" s="2"/>
    </row>
    <row r="95" spans="2:10" ht="15">
      <c r="B95" s="13" t="s">
        <v>54</v>
      </c>
      <c r="C95" s="51">
        <v>1</v>
      </c>
      <c r="D95" s="51"/>
      <c r="E95" s="51"/>
      <c r="F95" s="74">
        <f>E38</f>
        <v>131.25</v>
      </c>
      <c r="G95" s="59"/>
      <c r="H95" s="59"/>
      <c r="I95" s="20">
        <f>J83</f>
        <v>1809.15</v>
      </c>
      <c r="J95" s="2">
        <f>F95*I95</f>
        <v>237450.9375</v>
      </c>
    </row>
    <row r="96" spans="2:10" ht="15">
      <c r="B96" s="13" t="s">
        <v>63</v>
      </c>
      <c r="C96" s="51">
        <v>4</v>
      </c>
      <c r="D96" s="51"/>
      <c r="E96" s="51"/>
      <c r="F96" s="59">
        <f>F95*C96</f>
        <v>525</v>
      </c>
      <c r="G96" s="59"/>
      <c r="H96" s="59"/>
      <c r="I96" s="20">
        <f>J87+J77+J73+J81</f>
        <v>173.71724999999998</v>
      </c>
      <c r="J96" s="2">
        <f>F95*I96</f>
        <v>22800.3890625</v>
      </c>
    </row>
    <row r="97" spans="2:10" ht="15">
      <c r="B97" s="13" t="s">
        <v>51</v>
      </c>
      <c r="C97" s="51">
        <v>15</v>
      </c>
      <c r="D97" s="51"/>
      <c r="E97" s="51"/>
      <c r="F97" s="74">
        <f>F95*C97</f>
        <v>1968.75</v>
      </c>
      <c r="G97" s="74"/>
      <c r="H97" s="74"/>
      <c r="I97" s="20">
        <f>J88+J89+J90+J86+J85+J84+J71+J72+J74+J75+J76+J78+J79+J80+J82</f>
        <v>180.28499999999994</v>
      </c>
      <c r="J97" s="2">
        <f>F95*I97</f>
        <v>23662.406249999993</v>
      </c>
    </row>
    <row r="98" spans="2:8" ht="15">
      <c r="B98" s="66" t="s">
        <v>118</v>
      </c>
      <c r="C98" s="66"/>
      <c r="D98" s="66"/>
      <c r="E98" s="66"/>
      <c r="F98" s="66"/>
      <c r="G98" s="66"/>
      <c r="H98" s="66"/>
    </row>
    <row r="99" spans="2:7" ht="15">
      <c r="B99" s="51" t="s">
        <v>64</v>
      </c>
      <c r="C99" s="51"/>
      <c r="D99" s="51"/>
      <c r="E99" s="51"/>
      <c r="F99" s="51"/>
      <c r="G99" s="51"/>
    </row>
    <row r="100" spans="2:7" ht="180">
      <c r="B100" s="18" t="s">
        <v>65</v>
      </c>
      <c r="C100" s="13" t="s">
        <v>66</v>
      </c>
      <c r="D100" s="18" t="s">
        <v>67</v>
      </c>
      <c r="E100" s="18" t="s">
        <v>68</v>
      </c>
      <c r="F100" s="18" t="s">
        <v>69</v>
      </c>
      <c r="G100" s="18" t="s">
        <v>70</v>
      </c>
    </row>
    <row r="101" spans="2:7" ht="15">
      <c r="B101" s="13" t="s">
        <v>54</v>
      </c>
      <c r="C101" s="23">
        <f>F95</f>
        <v>131.25</v>
      </c>
      <c r="D101">
        <v>8</v>
      </c>
      <c r="E101">
        <f>C101*D101*8</f>
        <v>8400</v>
      </c>
      <c r="F101">
        <f>C101*D101*24</f>
        <v>25200</v>
      </c>
      <c r="G101">
        <f>C101*D101*$E$35</f>
        <v>13104.843046203854</v>
      </c>
    </row>
    <row r="102" spans="2:7" ht="15">
      <c r="B102" s="13" t="s">
        <v>52</v>
      </c>
      <c r="C102" s="2">
        <f>F96</f>
        <v>525</v>
      </c>
      <c r="D102">
        <v>1</v>
      </c>
      <c r="E102">
        <f>C102*D102*8</f>
        <v>4200</v>
      </c>
      <c r="F102" s="75">
        <f>C102*D102*24</f>
        <v>12600</v>
      </c>
      <c r="G102">
        <f>C102*D102*$E$35</f>
        <v>6552.421523101927</v>
      </c>
    </row>
    <row r="103" spans="2:7" ht="15">
      <c r="B103" s="13" t="s">
        <v>51</v>
      </c>
      <c r="C103" s="23">
        <f>F97</f>
        <v>1968.75</v>
      </c>
      <c r="D103">
        <v>2</v>
      </c>
      <c r="E103">
        <f>C103*D103</f>
        <v>3937.5</v>
      </c>
      <c r="F103">
        <f>C103*D103</f>
        <v>3937.5</v>
      </c>
      <c r="G103">
        <f>C103*D103*$E$35</f>
        <v>49143.16142326445</v>
      </c>
    </row>
    <row r="104" spans="6:7" ht="15">
      <c r="F104" t="s">
        <v>20</v>
      </c>
      <c r="G104">
        <f>SUM(G101:G103)</f>
        <v>68800.42599257024</v>
      </c>
    </row>
    <row r="106" spans="1:2" ht="15">
      <c r="A106" t="s">
        <v>71</v>
      </c>
      <c r="B106">
        <v>254</v>
      </c>
    </row>
    <row r="107" spans="2:11" ht="15">
      <c r="B107">
        <v>111</v>
      </c>
      <c r="F107" s="48" t="s">
        <v>120</v>
      </c>
      <c r="G107" s="48"/>
      <c r="H107" s="48"/>
      <c r="I107" s="48"/>
      <c r="J107" s="48"/>
      <c r="K107" s="48"/>
    </row>
    <row r="109" spans="4:11" ht="15">
      <c r="D109" s="13" t="s">
        <v>72</v>
      </c>
      <c r="E109" s="75">
        <f>G102/(24*$B$106)</f>
        <v>1.0748722970967728</v>
      </c>
      <c r="F109" s="13" t="s">
        <v>75</v>
      </c>
      <c r="G109" s="75">
        <f>$B$106*(E109-0)</f>
        <v>273.0175634625803</v>
      </c>
      <c r="H109">
        <v>257</v>
      </c>
      <c r="I109" s="13" t="s">
        <v>76</v>
      </c>
      <c r="J109" s="75">
        <f>$B$106*(1-E109)</f>
        <v>-19.017563462580288</v>
      </c>
      <c r="K109">
        <v>19</v>
      </c>
    </row>
    <row r="110" spans="4:11" ht="15">
      <c r="D110" s="13" t="s">
        <v>73</v>
      </c>
      <c r="E110" s="75">
        <f>G103/(24*$B$106)</f>
        <v>8.061542228225795</v>
      </c>
      <c r="F110" s="13" t="s">
        <v>75</v>
      </c>
      <c r="G110" s="75">
        <f>$B$106*(E110-7)</f>
        <v>269.6317259693519</v>
      </c>
      <c r="H110">
        <v>148</v>
      </c>
      <c r="I110" s="13" t="s">
        <v>76</v>
      </c>
      <c r="J110" s="75">
        <f>$B$106*(8-E110)</f>
        <v>-15.631725969351908</v>
      </c>
      <c r="K110">
        <v>16</v>
      </c>
    </row>
    <row r="111" spans="4:11" ht="15">
      <c r="D111" s="13" t="s">
        <v>74</v>
      </c>
      <c r="E111" s="75">
        <f>G101/(24*$B$106)</f>
        <v>2.1497445941935456</v>
      </c>
      <c r="F111" s="13" t="s">
        <v>75</v>
      </c>
      <c r="G111" s="75">
        <f>$B$106*(E111-1)</f>
        <v>292.03512692516057</v>
      </c>
      <c r="H111">
        <v>260</v>
      </c>
      <c r="I111" s="13" t="s">
        <v>76</v>
      </c>
      <c r="J111" s="75">
        <f>$B$106*(2-E111)</f>
        <v>-38.035126925160576</v>
      </c>
      <c r="K111">
        <v>38</v>
      </c>
    </row>
    <row r="113" spans="1:5" ht="15.75" thickBot="1">
      <c r="A113" s="69" t="s">
        <v>119</v>
      </c>
      <c r="B113" s="69"/>
      <c r="C113" s="69"/>
      <c r="D113" s="69"/>
      <c r="E113" s="69"/>
    </row>
    <row r="114" spans="1:6" ht="15" customHeight="1">
      <c r="A114" s="70" t="s">
        <v>77</v>
      </c>
      <c r="B114" s="72" t="s">
        <v>78</v>
      </c>
      <c r="C114" s="54" t="s">
        <v>79</v>
      </c>
      <c r="D114" s="54"/>
      <c r="E114" s="55" t="s">
        <v>80</v>
      </c>
      <c r="F114" s="56"/>
    </row>
    <row r="115" spans="1:6" ht="15">
      <c r="A115" s="71"/>
      <c r="B115" s="73"/>
      <c r="C115" s="13" t="s">
        <v>81</v>
      </c>
      <c r="D115" s="13" t="s">
        <v>82</v>
      </c>
      <c r="E115" s="18" t="s">
        <v>81</v>
      </c>
      <c r="F115" s="25" t="s">
        <v>82</v>
      </c>
    </row>
    <row r="116" spans="1:6" ht="15">
      <c r="A116" s="26" t="s">
        <v>54</v>
      </c>
      <c r="B116" s="76">
        <f>E38</f>
        <v>131.25</v>
      </c>
      <c r="C116" s="10">
        <v>2</v>
      </c>
      <c r="D116" s="10">
        <v>3</v>
      </c>
      <c r="E116" s="10">
        <f>H111</f>
        <v>260</v>
      </c>
      <c r="F116" s="27">
        <f>K111</f>
        <v>38</v>
      </c>
    </row>
    <row r="117" spans="1:6" ht="15">
      <c r="A117" s="26" t="s">
        <v>52</v>
      </c>
      <c r="B117" s="10">
        <f>F96</f>
        <v>525</v>
      </c>
      <c r="C117" s="10">
        <v>1</v>
      </c>
      <c r="D117" s="10">
        <v>2</v>
      </c>
      <c r="E117" s="10">
        <f>H109</f>
        <v>257</v>
      </c>
      <c r="F117" s="27">
        <f>K109</f>
        <v>19</v>
      </c>
    </row>
    <row r="118" spans="1:6" ht="15.75" thickBot="1">
      <c r="A118" s="28" t="s">
        <v>51</v>
      </c>
      <c r="B118" s="77">
        <f>F97</f>
        <v>1968.75</v>
      </c>
      <c r="C118" s="29">
        <v>8</v>
      </c>
      <c r="D118" s="29">
        <v>9</v>
      </c>
      <c r="E118" s="29">
        <f>H110</f>
        <v>148</v>
      </c>
      <c r="F118" s="30">
        <f>K110</f>
        <v>16</v>
      </c>
    </row>
    <row r="120" spans="6:7" ht="15">
      <c r="F120" t="s">
        <v>84</v>
      </c>
      <c r="G120">
        <f>B16/E38</f>
        <v>0.8</v>
      </c>
    </row>
    <row r="121" spans="1:2" ht="15">
      <c r="A121" s="13" t="s">
        <v>121</v>
      </c>
      <c r="B121">
        <f>D116+D117+D118</f>
        <v>14</v>
      </c>
    </row>
    <row r="122" spans="6:7" ht="15">
      <c r="F122" t="s">
        <v>83</v>
      </c>
      <c r="G122">
        <f>365*B123*G124</f>
        <v>33219</v>
      </c>
    </row>
    <row r="123" spans="1:2" ht="15">
      <c r="A123" s="13" t="s">
        <v>122</v>
      </c>
      <c r="B123" s="78">
        <f>1.1*E38+14</f>
        <v>158.375</v>
      </c>
    </row>
    <row r="124" spans="6:7" ht="15">
      <c r="F124" t="s">
        <v>85</v>
      </c>
      <c r="G124">
        <f>(254*B16+D16*111)/(365*B123)</f>
        <v>0.5746548312808814</v>
      </c>
    </row>
    <row r="126" spans="1:8" ht="15">
      <c r="A126" s="53" t="s">
        <v>86</v>
      </c>
      <c r="B126" s="53"/>
      <c r="C126" s="53"/>
      <c r="D126" s="53"/>
      <c r="E126" s="53"/>
      <c r="F126" s="53"/>
      <c r="G126" s="53"/>
      <c r="H126" s="53"/>
    </row>
    <row r="127" spans="1:7" ht="15">
      <c r="A127" s="13" t="s">
        <v>123</v>
      </c>
      <c r="B127" s="75">
        <v>2.25</v>
      </c>
      <c r="F127" s="13" t="s">
        <v>87</v>
      </c>
      <c r="G127" s="2">
        <v>8</v>
      </c>
    </row>
    <row r="128" spans="1:2" ht="15">
      <c r="A128" s="13" t="s">
        <v>124</v>
      </c>
      <c r="B128" s="75">
        <f>B127*B123</f>
        <v>356.34375</v>
      </c>
    </row>
    <row r="129" spans="1:8" ht="15">
      <c r="A129" s="13" t="s">
        <v>125</v>
      </c>
      <c r="B129" s="75">
        <f>B128/G127</f>
        <v>44.54296875</v>
      </c>
      <c r="C129">
        <v>45</v>
      </c>
      <c r="F129" s="13" t="s">
        <v>126</v>
      </c>
      <c r="G129" s="75">
        <f>C129/G127</f>
        <v>5.625</v>
      </c>
      <c r="H129">
        <v>6</v>
      </c>
    </row>
    <row r="130" spans="9:14" ht="15">
      <c r="I130" s="67" t="s">
        <v>127</v>
      </c>
      <c r="J130" s="67"/>
      <c r="K130" s="67"/>
      <c r="L130" s="67"/>
      <c r="M130" s="67"/>
      <c r="N130" s="67"/>
    </row>
    <row r="131" spans="1:16" ht="15">
      <c r="A131" s="51" t="s">
        <v>88</v>
      </c>
      <c r="B131" s="51"/>
      <c r="C131" s="51">
        <v>1</v>
      </c>
      <c r="D131" s="51"/>
      <c r="E131" s="51">
        <v>2</v>
      </c>
      <c r="F131" s="51"/>
      <c r="G131" s="51">
        <v>3</v>
      </c>
      <c r="H131" s="51"/>
      <c r="I131" s="51">
        <v>4</v>
      </c>
      <c r="J131" s="51"/>
      <c r="K131" s="51">
        <v>5</v>
      </c>
      <c r="L131" s="51"/>
      <c r="M131" s="51">
        <v>6</v>
      </c>
      <c r="N131" s="51"/>
      <c r="O131" s="51">
        <v>7</v>
      </c>
      <c r="P131" s="51"/>
    </row>
    <row r="132" spans="1:16" ht="15">
      <c r="A132" s="51" t="s">
        <v>89</v>
      </c>
      <c r="B132" s="51"/>
      <c r="C132" s="21">
        <v>0.3333333333333333</v>
      </c>
      <c r="D132" s="21">
        <v>0.7916666666666666</v>
      </c>
      <c r="E132" s="21">
        <v>0.3333333333333333</v>
      </c>
      <c r="F132" s="21">
        <v>0.7916666666666666</v>
      </c>
      <c r="G132" s="21">
        <v>0.3333333333333333</v>
      </c>
      <c r="H132" s="21">
        <v>0.7916666666666666</v>
      </c>
      <c r="I132" s="21">
        <v>0.3333333333333333</v>
      </c>
      <c r="J132" s="21">
        <v>0.7916666666666666</v>
      </c>
      <c r="K132" s="21">
        <v>0.3333333333333333</v>
      </c>
      <c r="L132" s="21">
        <v>0.7916666666666666</v>
      </c>
      <c r="M132" s="21">
        <v>0.3333333333333333</v>
      </c>
      <c r="N132" s="21">
        <v>0.7916666666666666</v>
      </c>
      <c r="O132" s="21">
        <v>0.3333333333333333</v>
      </c>
      <c r="P132" s="21">
        <v>0.7916666666666666</v>
      </c>
    </row>
    <row r="133" spans="1:16" ht="15">
      <c r="A133" s="51" t="s">
        <v>90</v>
      </c>
      <c r="B133" s="2">
        <v>1</v>
      </c>
      <c r="C133" s="13" t="s">
        <v>91</v>
      </c>
      <c r="D133" s="13"/>
      <c r="E133" s="13"/>
      <c r="F133" s="13" t="s">
        <v>92</v>
      </c>
      <c r="G133" s="13"/>
      <c r="H133" s="13"/>
      <c r="I133" s="13"/>
      <c r="J133" s="13" t="s">
        <v>92</v>
      </c>
      <c r="K133" s="13"/>
      <c r="L133" s="13"/>
      <c r="M133" s="13"/>
      <c r="N133" s="13" t="s">
        <v>92</v>
      </c>
      <c r="O133" s="13"/>
      <c r="P133" s="13"/>
    </row>
    <row r="134" spans="1:16" ht="15">
      <c r="A134" s="51"/>
      <c r="B134" s="2">
        <v>2</v>
      </c>
      <c r="C134" s="13"/>
      <c r="D134" s="13"/>
      <c r="E134" s="13" t="s">
        <v>91</v>
      </c>
      <c r="F134" s="13"/>
      <c r="G134" s="13"/>
      <c r="H134" s="13" t="s">
        <v>92</v>
      </c>
      <c r="I134" s="13"/>
      <c r="J134" s="13"/>
      <c r="K134" s="13"/>
      <c r="L134" s="13" t="s">
        <v>92</v>
      </c>
      <c r="M134" s="13"/>
      <c r="N134" s="13"/>
      <c r="O134" s="13"/>
      <c r="P134" s="13" t="s">
        <v>92</v>
      </c>
    </row>
    <row r="135" spans="1:16" ht="15">
      <c r="A135" s="51"/>
      <c r="B135" s="2">
        <v>3</v>
      </c>
      <c r="C135" s="13"/>
      <c r="D135" s="13" t="s">
        <v>92</v>
      </c>
      <c r="E135" s="13"/>
      <c r="F135" s="13"/>
      <c r="G135" s="13"/>
      <c r="H135" s="13" t="s">
        <v>92</v>
      </c>
      <c r="I135" s="13"/>
      <c r="J135" s="13"/>
      <c r="K135" s="13" t="s">
        <v>91</v>
      </c>
      <c r="L135" s="13"/>
      <c r="M135" s="13"/>
      <c r="N135" s="13"/>
      <c r="O135" s="13" t="s">
        <v>91</v>
      </c>
      <c r="P135" s="13"/>
    </row>
    <row r="136" spans="1:16" ht="15">
      <c r="A136" s="51"/>
      <c r="B136" s="2">
        <v>4</v>
      </c>
      <c r="C136" s="13" t="s">
        <v>91</v>
      </c>
      <c r="D136" s="13"/>
      <c r="E136" s="13"/>
      <c r="F136" s="13" t="s">
        <v>92</v>
      </c>
      <c r="G136" s="13"/>
      <c r="H136" s="13"/>
      <c r="I136" s="13" t="s">
        <v>91</v>
      </c>
      <c r="J136" s="13"/>
      <c r="K136" s="13"/>
      <c r="L136" s="13"/>
      <c r="M136" s="13" t="s">
        <v>91</v>
      </c>
      <c r="N136" s="13"/>
      <c r="O136" s="13"/>
      <c r="P136" s="13"/>
    </row>
    <row r="137" spans="1:16" ht="15.75" thickBot="1">
      <c r="A137" s="51"/>
      <c r="B137" s="2">
        <v>5</v>
      </c>
      <c r="C137" s="80"/>
      <c r="D137" s="80" t="s">
        <v>92</v>
      </c>
      <c r="E137" s="80"/>
      <c r="F137" s="80"/>
      <c r="G137" s="80" t="s">
        <v>91</v>
      </c>
      <c r="H137" s="80"/>
      <c r="I137" s="80"/>
      <c r="J137" s="80"/>
      <c r="K137" s="80" t="s">
        <v>91</v>
      </c>
      <c r="L137" s="80"/>
      <c r="M137" s="80"/>
      <c r="N137" s="80"/>
      <c r="O137" s="80"/>
      <c r="P137" s="80" t="s">
        <v>92</v>
      </c>
    </row>
    <row r="138" spans="2:16" ht="15.75" thickBot="1">
      <c r="B138" s="79">
        <v>6</v>
      </c>
      <c r="C138" s="81" t="s">
        <v>91</v>
      </c>
      <c r="D138" s="82"/>
      <c r="E138" s="82"/>
      <c r="F138" s="82" t="s">
        <v>92</v>
      </c>
      <c r="G138" s="82"/>
      <c r="H138" s="82"/>
      <c r="I138" s="82"/>
      <c r="J138" s="82" t="s">
        <v>92</v>
      </c>
      <c r="K138" s="82"/>
      <c r="L138" s="82"/>
      <c r="M138" s="82" t="s">
        <v>91</v>
      </c>
      <c r="N138" s="82"/>
      <c r="O138" s="82"/>
      <c r="P138" s="83"/>
    </row>
    <row r="139" spans="2:13" ht="15">
      <c r="B139" s="48">
        <v>5</v>
      </c>
      <c r="C139" s="48"/>
      <c r="D139" s="48"/>
      <c r="E139" s="48"/>
      <c r="F139" s="48"/>
      <c r="I139" s="50" t="s">
        <v>172</v>
      </c>
      <c r="J139" s="50"/>
      <c r="K139" s="50"/>
      <c r="L139" s="50"/>
      <c r="M139" s="50"/>
    </row>
    <row r="140" spans="2:11" ht="15">
      <c r="B140" s="48"/>
      <c r="C140" s="48"/>
      <c r="D140" s="48"/>
      <c r="E140" s="48"/>
      <c r="F140" s="48"/>
      <c r="G140" s="48" t="s">
        <v>128</v>
      </c>
      <c r="H140" s="48"/>
      <c r="I140" s="48"/>
      <c r="J140" s="48"/>
      <c r="K140" s="48"/>
    </row>
    <row r="141" spans="2:3" ht="15">
      <c r="B141" s="13" t="s">
        <v>129</v>
      </c>
      <c r="C141" s="75">
        <f>1.7*G120*B123</f>
        <v>215.39000000000001</v>
      </c>
    </row>
    <row r="142" spans="2:3" ht="15">
      <c r="B142" s="13" t="s">
        <v>130</v>
      </c>
      <c r="C142" s="75">
        <f>C141*1.04</f>
        <v>224.00560000000002</v>
      </c>
    </row>
    <row r="145" spans="5:10" ht="15">
      <c r="E145" s="48" t="s">
        <v>131</v>
      </c>
      <c r="F145" s="48"/>
      <c r="G145" s="48"/>
      <c r="H145" s="48"/>
      <c r="I145" s="48"/>
      <c r="J145" s="48"/>
    </row>
    <row r="146" spans="2:3" ht="15">
      <c r="B146" s="13" t="s">
        <v>132</v>
      </c>
      <c r="C146" s="75">
        <f>J95/$H$149</f>
        <v>118.66841662662182</v>
      </c>
    </row>
    <row r="147" spans="2:3" ht="15">
      <c r="B147" s="13" t="s">
        <v>133</v>
      </c>
      <c r="C147" s="75">
        <f>J96/$H$149</f>
        <v>11.39471630225853</v>
      </c>
    </row>
    <row r="148" spans="2:3" ht="15">
      <c r="B148" s="13" t="s">
        <v>134</v>
      </c>
      <c r="C148" s="75">
        <f>J97/$H$149</f>
        <v>11.8255177799135</v>
      </c>
    </row>
    <row r="149" spans="7:8" ht="15">
      <c r="G149" t="s">
        <v>137</v>
      </c>
      <c r="H149" s="32">
        <f>(254*8+7*7)/1.04</f>
        <v>2000.9615384615383</v>
      </c>
    </row>
    <row r="151" spans="2:3" ht="15">
      <c r="B151" s="13" t="s">
        <v>135</v>
      </c>
      <c r="C151">
        <f>H129*8</f>
        <v>48</v>
      </c>
    </row>
    <row r="152" spans="2:4" ht="15">
      <c r="B152" s="13" t="s">
        <v>136</v>
      </c>
      <c r="C152" s="75">
        <f>(C146+C148+C147)*0.25</f>
        <v>35.47216267719846</v>
      </c>
      <c r="D152">
        <v>36</v>
      </c>
    </row>
    <row r="153" spans="5:11" ht="15">
      <c r="E153" s="37" t="s">
        <v>170</v>
      </c>
      <c r="F153" s="37"/>
      <c r="G153" s="37"/>
      <c r="H153" s="37"/>
      <c r="I153" s="50" t="s">
        <v>171</v>
      </c>
      <c r="J153" s="50"/>
      <c r="K153" s="50"/>
    </row>
    <row r="155" spans="2:7" ht="15">
      <c r="B155" s="22" t="s">
        <v>138</v>
      </c>
      <c r="C155" s="20">
        <f>540/40</f>
        <v>13.5</v>
      </c>
      <c r="D155" s="2">
        <v>13</v>
      </c>
      <c r="E155" s="10"/>
      <c r="F155" s="8" t="s">
        <v>139</v>
      </c>
      <c r="G155" s="2">
        <v>2</v>
      </c>
    </row>
    <row r="156" spans="2:7" ht="15">
      <c r="B156" s="22" t="s">
        <v>140</v>
      </c>
      <c r="C156" s="20">
        <f>B123*G124</f>
        <v>91.01095890410959</v>
      </c>
      <c r="D156" s="2">
        <v>91</v>
      </c>
      <c r="E156" s="10"/>
      <c r="F156" s="8" t="s">
        <v>141</v>
      </c>
      <c r="G156" s="2">
        <v>1.25</v>
      </c>
    </row>
    <row r="157" spans="2:7" ht="15">
      <c r="B157" s="22" t="s">
        <v>142</v>
      </c>
      <c r="C157" s="20">
        <f>D156/D155</f>
        <v>7</v>
      </c>
      <c r="D157" s="2">
        <v>8</v>
      </c>
      <c r="E157" s="10"/>
      <c r="F157" s="8" t="s">
        <v>143</v>
      </c>
      <c r="G157" s="2">
        <v>0.5</v>
      </c>
    </row>
    <row r="158" spans="2:7" ht="15">
      <c r="B158" s="15" t="s">
        <v>144</v>
      </c>
      <c r="C158" s="20">
        <f>D156*0.02*120/480</f>
        <v>0.455</v>
      </c>
      <c r="D158" s="33">
        <v>1</v>
      </c>
      <c r="E158" s="10"/>
      <c r="F158" s="8" t="s">
        <v>145</v>
      </c>
      <c r="G158" s="23">
        <f>E110</f>
        <v>8.061542228225795</v>
      </c>
    </row>
    <row r="159" spans="2:7" ht="15">
      <c r="B159" s="15" t="s">
        <v>146</v>
      </c>
      <c r="C159" s="20">
        <f>2*G155+2*G156+2*G157+3*G159+(G158-1)*G160</f>
        <v>50.0515422282258</v>
      </c>
      <c r="E159" s="10"/>
      <c r="F159" s="8" t="s">
        <v>147</v>
      </c>
      <c r="G159" s="2">
        <v>11.83</v>
      </c>
    </row>
    <row r="160" spans="2:7" ht="15">
      <c r="B160" s="15" t="s">
        <v>148</v>
      </c>
      <c r="C160" s="20">
        <f>2*G155+6*G156+6*G157+G158*G159+(G158-3)*G160+2*G161</f>
        <v>122.92958678813694</v>
      </c>
      <c r="E160" s="10"/>
      <c r="F160" s="8" t="s">
        <v>149</v>
      </c>
      <c r="G160" s="2">
        <v>1</v>
      </c>
    </row>
    <row r="161" spans="6:7" ht="15">
      <c r="F161" s="8" t="s">
        <v>150</v>
      </c>
      <c r="G161" s="33">
        <v>4</v>
      </c>
    </row>
    <row r="162" ht="15">
      <c r="F162" s="34"/>
    </row>
    <row r="163" spans="6:11" ht="15">
      <c r="F163" s="34"/>
      <c r="H163" s="48" t="s">
        <v>173</v>
      </c>
      <c r="I163" s="48"/>
      <c r="J163" s="48"/>
      <c r="K163" s="48"/>
    </row>
    <row r="164" spans="2:7" ht="15">
      <c r="B164" s="2" t="s">
        <v>151</v>
      </c>
      <c r="C164" s="20">
        <f>G164*G165/G166</f>
        <v>1.5501968503937007</v>
      </c>
      <c r="D164" s="2">
        <v>2</v>
      </c>
      <c r="F164" s="8" t="s">
        <v>152</v>
      </c>
      <c r="G164" s="2">
        <v>3</v>
      </c>
    </row>
    <row r="165" spans="2:7" ht="15">
      <c r="B165" s="2" t="s">
        <v>153</v>
      </c>
      <c r="C165" s="20">
        <f>(G167-G164)*G165/G166</f>
        <v>2.5836614173228347</v>
      </c>
      <c r="D165" s="2">
        <v>3</v>
      </c>
      <c r="F165" s="8" t="s">
        <v>154</v>
      </c>
      <c r="G165" s="23">
        <f>E38</f>
        <v>131.25</v>
      </c>
    </row>
    <row r="166" spans="6:7" ht="15">
      <c r="F166" s="8" t="s">
        <v>155</v>
      </c>
      <c r="G166" s="2">
        <v>254</v>
      </c>
    </row>
    <row r="167" spans="6:7" ht="15">
      <c r="F167" s="8" t="s">
        <v>156</v>
      </c>
      <c r="G167" s="2">
        <v>8</v>
      </c>
    </row>
    <row r="168" ht="15">
      <c r="F168" s="34"/>
    </row>
    <row r="169" ht="15">
      <c r="F169" s="34"/>
    </row>
    <row r="170" ht="15">
      <c r="F170" s="34"/>
    </row>
    <row r="171" ht="15">
      <c r="F171" s="34"/>
    </row>
    <row r="172" spans="2:6" ht="15">
      <c r="B172" s="47" t="s">
        <v>215</v>
      </c>
      <c r="C172" s="48"/>
      <c r="D172" s="48"/>
      <c r="E172" s="48"/>
      <c r="F172" s="34"/>
    </row>
    <row r="173" spans="2:6" ht="15">
      <c r="B173" s="47" t="s">
        <v>214</v>
      </c>
      <c r="C173" s="48"/>
      <c r="D173" s="48"/>
      <c r="E173" s="48"/>
      <c r="F173" s="34"/>
    </row>
    <row r="174" spans="2:6" ht="15">
      <c r="B174" s="49" t="s">
        <v>216</v>
      </c>
      <c r="C174" s="50"/>
      <c r="D174" s="50"/>
      <c r="E174" s="50"/>
      <c r="F174" s="50"/>
    </row>
    <row r="175" ht="15">
      <c r="F175" s="34"/>
    </row>
    <row r="176" spans="2:7" ht="15">
      <c r="B176" s="51" t="s">
        <v>157</v>
      </c>
      <c r="C176" s="51" t="s">
        <v>158</v>
      </c>
      <c r="D176" s="51" t="s">
        <v>159</v>
      </c>
      <c r="E176" s="51"/>
      <c r="F176" s="52" t="s">
        <v>211</v>
      </c>
      <c r="G176" s="35"/>
    </row>
    <row r="177" spans="2:6" ht="15">
      <c r="B177" s="51"/>
      <c r="C177" s="51"/>
      <c r="D177" s="36" t="s">
        <v>212</v>
      </c>
      <c r="E177" s="36" t="s">
        <v>213</v>
      </c>
      <c r="F177" s="52"/>
    </row>
    <row r="178" spans="2:6" ht="15">
      <c r="B178" s="2" t="s">
        <v>160</v>
      </c>
      <c r="C178" s="2">
        <v>12</v>
      </c>
      <c r="D178" s="2">
        <v>25</v>
      </c>
      <c r="E178" s="2">
        <v>10</v>
      </c>
      <c r="F178" s="8">
        <f>D178+E178*(C178-1)</f>
        <v>135</v>
      </c>
    </row>
    <row r="179" spans="2:6" ht="15">
      <c r="B179" s="2" t="s">
        <v>161</v>
      </c>
      <c r="C179" s="2">
        <v>14</v>
      </c>
      <c r="D179" s="2">
        <v>20</v>
      </c>
      <c r="E179" s="2">
        <v>10</v>
      </c>
      <c r="F179" s="8">
        <f aca="true" t="shared" si="22" ref="F179:F187">D179+E179*(C179-1)</f>
        <v>150</v>
      </c>
    </row>
    <row r="180" spans="2:6" ht="15">
      <c r="B180" s="2" t="s">
        <v>162</v>
      </c>
      <c r="C180" s="2">
        <v>9</v>
      </c>
      <c r="D180" s="2">
        <v>30</v>
      </c>
      <c r="E180" s="2">
        <v>15</v>
      </c>
      <c r="F180" s="8">
        <f t="shared" si="22"/>
        <v>150</v>
      </c>
    </row>
    <row r="181" spans="2:6" ht="15">
      <c r="B181" s="2" t="s">
        <v>163</v>
      </c>
      <c r="C181" s="2">
        <v>8</v>
      </c>
      <c r="D181" s="2">
        <v>15</v>
      </c>
      <c r="E181" s="2">
        <v>10</v>
      </c>
      <c r="F181" s="8">
        <f t="shared" si="22"/>
        <v>85</v>
      </c>
    </row>
    <row r="182" spans="2:6" ht="15">
      <c r="B182" s="2" t="s">
        <v>164</v>
      </c>
      <c r="C182" s="2">
        <v>6</v>
      </c>
      <c r="D182" s="2">
        <v>20</v>
      </c>
      <c r="E182" s="2">
        <v>10</v>
      </c>
      <c r="F182" s="8">
        <f t="shared" si="22"/>
        <v>70</v>
      </c>
    </row>
    <row r="183" spans="2:6" ht="15">
      <c r="B183" s="2" t="s">
        <v>165</v>
      </c>
      <c r="C183" s="2">
        <v>4</v>
      </c>
      <c r="D183" s="2">
        <v>20</v>
      </c>
      <c r="E183" s="2">
        <v>10</v>
      </c>
      <c r="F183" s="8">
        <f t="shared" si="22"/>
        <v>50</v>
      </c>
    </row>
    <row r="184" spans="2:6" ht="15">
      <c r="B184" s="2" t="s">
        <v>166</v>
      </c>
      <c r="C184" s="2">
        <v>45</v>
      </c>
      <c r="D184" s="2">
        <v>20</v>
      </c>
      <c r="E184" s="2">
        <v>8</v>
      </c>
      <c r="F184" s="8">
        <f t="shared" si="22"/>
        <v>372</v>
      </c>
    </row>
    <row r="185" spans="2:6" ht="15">
      <c r="B185" s="2" t="s">
        <v>167</v>
      </c>
      <c r="C185" s="2">
        <v>20</v>
      </c>
      <c r="D185" s="2">
        <v>25</v>
      </c>
      <c r="E185" s="2">
        <v>10</v>
      </c>
      <c r="F185" s="8">
        <f t="shared" si="22"/>
        <v>215</v>
      </c>
    </row>
    <row r="186" spans="2:6" ht="15">
      <c r="B186" s="2" t="s">
        <v>168</v>
      </c>
      <c r="C186" s="2">
        <v>6</v>
      </c>
      <c r="D186" s="2">
        <v>25</v>
      </c>
      <c r="E186" s="2">
        <v>12</v>
      </c>
      <c r="F186" s="8">
        <f t="shared" si="22"/>
        <v>85</v>
      </c>
    </row>
    <row r="187" spans="2:6" ht="15">
      <c r="B187" s="2" t="s">
        <v>169</v>
      </c>
      <c r="C187" s="2">
        <v>7</v>
      </c>
      <c r="D187" s="2">
        <v>25</v>
      </c>
      <c r="E187" s="2">
        <v>10</v>
      </c>
      <c r="F187" s="8">
        <f t="shared" si="22"/>
        <v>85</v>
      </c>
    </row>
    <row r="188" spans="2:6" ht="15">
      <c r="B188" s="2"/>
      <c r="C188" s="2">
        <f>SUM(C178:C187)</f>
        <v>131</v>
      </c>
      <c r="D188" s="2"/>
      <c r="E188" s="2"/>
      <c r="F188" s="8"/>
    </row>
    <row r="189" spans="8:13" ht="15">
      <c r="H189" s="50" t="s">
        <v>217</v>
      </c>
      <c r="I189" s="50"/>
      <c r="J189" s="50"/>
      <c r="K189" s="50"/>
      <c r="L189" s="50"/>
      <c r="M189" s="50"/>
    </row>
    <row r="190" spans="8:13" ht="15">
      <c r="H190" s="50"/>
      <c r="I190" s="50"/>
      <c r="J190" s="50"/>
      <c r="K190" s="50"/>
      <c r="L190" s="50"/>
      <c r="M190" s="50"/>
    </row>
    <row r="191" spans="2:8" ht="15">
      <c r="B191" s="2" t="s">
        <v>219</v>
      </c>
      <c r="C191" s="2">
        <f>H192*H191</f>
        <v>7.875</v>
      </c>
      <c r="D191" s="2"/>
      <c r="F191" s="34"/>
      <c r="G191" s="2" t="s">
        <v>174</v>
      </c>
      <c r="H191" s="2">
        <v>0.06</v>
      </c>
    </row>
    <row r="192" spans="2:8" ht="15">
      <c r="B192" s="2" t="s">
        <v>175</v>
      </c>
      <c r="C192" s="2">
        <f>C191/5</f>
        <v>1.575</v>
      </c>
      <c r="D192" s="2">
        <v>3</v>
      </c>
      <c r="F192" s="34"/>
      <c r="G192" s="2" t="s">
        <v>176</v>
      </c>
      <c r="H192" s="23">
        <f>E38</f>
        <v>131.25</v>
      </c>
    </row>
    <row r="193" spans="2:8" ht="15">
      <c r="B193" s="2" t="s">
        <v>218</v>
      </c>
      <c r="C193" s="2">
        <f>D192*H193</f>
        <v>45</v>
      </c>
      <c r="F193" s="34"/>
      <c r="G193" s="2" t="s">
        <v>177</v>
      </c>
      <c r="H193" s="2">
        <v>15</v>
      </c>
    </row>
    <row r="194" spans="2:8" ht="15">
      <c r="B194" s="38" t="s">
        <v>220</v>
      </c>
      <c r="C194" s="9">
        <f>H192*H194</f>
        <v>328.125</v>
      </c>
      <c r="F194" s="34"/>
      <c r="G194" s="33" t="s">
        <v>178</v>
      </c>
      <c r="H194" s="33">
        <v>2.5</v>
      </c>
    </row>
    <row r="195" spans="2:8" ht="15.75">
      <c r="B195" s="33" t="s">
        <v>221</v>
      </c>
      <c r="C195" s="2">
        <f>C194/H195</f>
        <v>1.3125</v>
      </c>
      <c r="D195" s="2">
        <v>2</v>
      </c>
      <c r="F195" s="34"/>
      <c r="G195" s="39" t="s">
        <v>179</v>
      </c>
      <c r="H195" s="33">
        <v>250</v>
      </c>
    </row>
    <row r="196" spans="2:8" ht="15">
      <c r="B196" s="33" t="s">
        <v>222</v>
      </c>
      <c r="C196" s="2">
        <f>D195*H196</f>
        <v>72</v>
      </c>
      <c r="F196" s="34"/>
      <c r="G196" s="33" t="s">
        <v>180</v>
      </c>
      <c r="H196" s="33">
        <v>36</v>
      </c>
    </row>
    <row r="197" spans="2:8" ht="15">
      <c r="B197" s="33" t="s">
        <v>223</v>
      </c>
      <c r="C197" s="2">
        <f>H192*H197</f>
        <v>26.25</v>
      </c>
      <c r="F197" s="34"/>
      <c r="G197" s="33" t="s">
        <v>181</v>
      </c>
      <c r="H197" s="33">
        <v>0.2</v>
      </c>
    </row>
    <row r="198" spans="2:8" ht="15">
      <c r="B198" s="33" t="s">
        <v>224</v>
      </c>
      <c r="C198" s="2">
        <f>H192*H198</f>
        <v>131.25</v>
      </c>
      <c r="F198" s="34"/>
      <c r="G198" s="33" t="s">
        <v>182</v>
      </c>
      <c r="H198" s="33">
        <v>1</v>
      </c>
    </row>
    <row r="199" spans="2:8" ht="15">
      <c r="B199" s="33" t="s">
        <v>225</v>
      </c>
      <c r="C199" s="2">
        <f>H201*H199+H200</f>
        <v>185</v>
      </c>
      <c r="F199" s="34"/>
      <c r="G199" s="33" t="s">
        <v>183</v>
      </c>
      <c r="H199" s="33">
        <v>45</v>
      </c>
    </row>
    <row r="200" spans="2:8" ht="15">
      <c r="B200" s="33" t="s">
        <v>226</v>
      </c>
      <c r="C200" s="2">
        <f>H192*H202</f>
        <v>65.625</v>
      </c>
      <c r="F200" s="34"/>
      <c r="G200" s="33" t="s">
        <v>184</v>
      </c>
      <c r="H200" s="33">
        <v>50</v>
      </c>
    </row>
    <row r="201" spans="2:8" ht="15">
      <c r="B201" s="33" t="s">
        <v>227</v>
      </c>
      <c r="C201" s="2"/>
      <c r="F201" s="34"/>
      <c r="G201" s="33" t="s">
        <v>185</v>
      </c>
      <c r="H201" s="2">
        <v>3</v>
      </c>
    </row>
    <row r="202" spans="2:8" ht="15">
      <c r="B202" s="33" t="s">
        <v>228</v>
      </c>
      <c r="C202" s="2">
        <f>H203*H204*H192</f>
        <v>45495450</v>
      </c>
      <c r="F202" s="34"/>
      <c r="G202" s="33" t="s">
        <v>186</v>
      </c>
      <c r="H202" s="33">
        <v>0.5</v>
      </c>
    </row>
    <row r="203" spans="2:8" ht="15">
      <c r="B203" s="33" t="s">
        <v>229</v>
      </c>
      <c r="C203" s="2">
        <f>C202/(12*H205)</f>
        <v>40.766532258064515</v>
      </c>
      <c r="D203" s="2">
        <v>41</v>
      </c>
      <c r="F203" s="34"/>
      <c r="G203" s="33" t="s">
        <v>187</v>
      </c>
      <c r="H203" s="2">
        <v>57772</v>
      </c>
    </row>
    <row r="204" spans="2:8" ht="15">
      <c r="B204" s="33" t="s">
        <v>230</v>
      </c>
      <c r="C204" s="2">
        <f>2*D203</f>
        <v>82</v>
      </c>
      <c r="F204" s="34"/>
      <c r="G204" s="33" t="s">
        <v>188</v>
      </c>
      <c r="H204" s="2">
        <v>6</v>
      </c>
    </row>
    <row r="205" spans="2:8" ht="15">
      <c r="B205" s="33" t="s">
        <v>231</v>
      </c>
      <c r="C205" s="2">
        <f>C204/H206</f>
        <v>4.1</v>
      </c>
      <c r="D205" s="2">
        <v>4</v>
      </c>
      <c r="F205" s="34"/>
      <c r="G205" s="33" t="s">
        <v>189</v>
      </c>
      <c r="H205" s="2">
        <v>93000</v>
      </c>
    </row>
    <row r="206" spans="2:8" ht="15">
      <c r="B206" s="33" t="s">
        <v>232</v>
      </c>
      <c r="C206" s="2">
        <f>C204/H207</f>
        <v>5.466666666666667</v>
      </c>
      <c r="D206" s="2">
        <v>6</v>
      </c>
      <c r="F206" s="34"/>
      <c r="G206" s="33" t="s">
        <v>46</v>
      </c>
      <c r="H206" s="2">
        <v>20</v>
      </c>
    </row>
    <row r="207" spans="2:8" ht="15">
      <c r="B207" s="33" t="s">
        <v>224</v>
      </c>
      <c r="C207" s="2">
        <f>D205*H208+D206*H209</f>
        <v>18</v>
      </c>
      <c r="F207" s="34"/>
      <c r="G207" s="33" t="s">
        <v>47</v>
      </c>
      <c r="H207" s="33">
        <v>15</v>
      </c>
    </row>
    <row r="208" spans="6:8" ht="15">
      <c r="F208" s="34"/>
      <c r="G208" s="33" t="s">
        <v>190</v>
      </c>
      <c r="H208" s="33">
        <v>3</v>
      </c>
    </row>
    <row r="209" spans="6:8" ht="15">
      <c r="F209" s="34"/>
      <c r="G209" s="33" t="s">
        <v>177</v>
      </c>
      <c r="H209" s="33">
        <v>1</v>
      </c>
    </row>
    <row r="210" ht="15">
      <c r="F210" s="34"/>
    </row>
    <row r="211" ht="15">
      <c r="F211" s="34"/>
    </row>
    <row r="212" ht="15">
      <c r="F212" s="34"/>
    </row>
    <row r="213" ht="15">
      <c r="F213" s="34"/>
    </row>
    <row r="214" spans="2:6" ht="15">
      <c r="B214" s="41" t="s">
        <v>191</v>
      </c>
      <c r="C214" s="42"/>
      <c r="D214" s="43"/>
      <c r="F214" s="34"/>
    </row>
    <row r="215" spans="2:6" ht="15">
      <c r="B215" s="44"/>
      <c r="C215" s="45"/>
      <c r="D215" s="46"/>
      <c r="F215" s="34"/>
    </row>
    <row r="216" ht="15">
      <c r="F216" s="34"/>
    </row>
    <row r="217" spans="6:8" ht="15">
      <c r="F217" s="34"/>
      <c r="G217" s="2" t="s">
        <v>192</v>
      </c>
      <c r="H217" s="2">
        <v>16</v>
      </c>
    </row>
    <row r="218" spans="2:8" ht="15">
      <c r="B218" s="2" t="s">
        <v>233</v>
      </c>
      <c r="C218" s="2">
        <f>H217+0.25*H218</f>
        <v>20</v>
      </c>
      <c r="F218" s="34"/>
      <c r="G218" s="2" t="s">
        <v>193</v>
      </c>
      <c r="H218" s="2">
        <v>16</v>
      </c>
    </row>
    <row r="219" spans="2:8" ht="15">
      <c r="B219" s="2" t="s">
        <v>234</v>
      </c>
      <c r="C219" s="2">
        <f>H219*C218</f>
        <v>20</v>
      </c>
      <c r="F219" s="34"/>
      <c r="G219" s="2" t="s">
        <v>194</v>
      </c>
      <c r="H219" s="2">
        <v>1</v>
      </c>
    </row>
    <row r="220" spans="2:8" ht="15">
      <c r="B220" t="s">
        <v>235</v>
      </c>
      <c r="C220" t="s">
        <v>195</v>
      </c>
      <c r="E220" s="75">
        <f>0.7*H220*H221</f>
        <v>47.949999999999996</v>
      </c>
      <c r="F220" s="34"/>
      <c r="G220" s="4" t="s">
        <v>196</v>
      </c>
      <c r="H220" s="4">
        <v>0.5</v>
      </c>
    </row>
    <row r="221" spans="2:8" ht="15">
      <c r="B221" t="s">
        <v>236</v>
      </c>
      <c r="C221" t="s">
        <v>197</v>
      </c>
      <c r="E221" s="75">
        <f>0.3*H220*H221</f>
        <v>20.55</v>
      </c>
      <c r="F221" s="34"/>
      <c r="G221" s="4" t="s">
        <v>198</v>
      </c>
      <c r="H221" s="4">
        <f>143-6</f>
        <v>137</v>
      </c>
    </row>
    <row r="222" spans="2:8" ht="15">
      <c r="B222" t="s">
        <v>237</v>
      </c>
      <c r="C222" t="s">
        <v>199</v>
      </c>
      <c r="E222" s="75">
        <f>0.7*H222*H221/7</f>
        <v>54.8</v>
      </c>
      <c r="F222" s="34"/>
      <c r="G222" s="4" t="s">
        <v>200</v>
      </c>
      <c r="H222">
        <v>4</v>
      </c>
    </row>
    <row r="223" spans="2:8" ht="15">
      <c r="B223" t="s">
        <v>238</v>
      </c>
      <c r="C223" t="s">
        <v>201</v>
      </c>
      <c r="E223" s="75">
        <f>0.3*H222*H221/7</f>
        <v>23.485714285714288</v>
      </c>
      <c r="F223" s="34"/>
      <c r="G223" s="4" t="s">
        <v>202</v>
      </c>
      <c r="H223">
        <v>2.5</v>
      </c>
    </row>
    <row r="224" spans="2:8" ht="15">
      <c r="B224" t="s">
        <v>239</v>
      </c>
      <c r="C224" t="s">
        <v>203</v>
      </c>
      <c r="E224" s="75">
        <f>0.7*H223*H221/10</f>
        <v>23.975</v>
      </c>
      <c r="F224" s="34"/>
      <c r="G224" s="4" t="s">
        <v>204</v>
      </c>
      <c r="H224">
        <v>0.25</v>
      </c>
    </row>
    <row r="225" spans="2:8" ht="15">
      <c r="B225" t="s">
        <v>240</v>
      </c>
      <c r="C225" t="s">
        <v>205</v>
      </c>
      <c r="E225" s="75">
        <f>0.3*H223*H221/10</f>
        <v>10.275</v>
      </c>
      <c r="F225" s="34"/>
      <c r="G225" s="4" t="s">
        <v>206</v>
      </c>
      <c r="H225">
        <v>0.25</v>
      </c>
    </row>
    <row r="226" spans="2:8" ht="15">
      <c r="B226" t="s">
        <v>241</v>
      </c>
      <c r="C226" t="s">
        <v>207</v>
      </c>
      <c r="E226" s="75">
        <f>0.7*H223*(H221+H226)/18</f>
        <v>13.902777777777779</v>
      </c>
      <c r="F226" s="34"/>
      <c r="G226" s="4" t="s">
        <v>245</v>
      </c>
      <c r="H226">
        <v>6</v>
      </c>
    </row>
    <row r="227" spans="2:6" ht="15">
      <c r="B227" t="s">
        <v>242</v>
      </c>
      <c r="C227" t="s">
        <v>208</v>
      </c>
      <c r="E227" s="75">
        <f>0.3*H223*(H221+H226)/12</f>
        <v>8.9375</v>
      </c>
      <c r="F227" s="34"/>
    </row>
    <row r="228" spans="2:6" ht="15">
      <c r="B228" t="s">
        <v>243</v>
      </c>
      <c r="C228" t="s">
        <v>209</v>
      </c>
      <c r="E228" s="75">
        <f>H224*(H221+H227)</f>
        <v>34.25</v>
      </c>
      <c r="F228" s="34"/>
    </row>
    <row r="229" spans="2:6" ht="15">
      <c r="B229" t="s">
        <v>244</v>
      </c>
      <c r="C229" t="s">
        <v>210</v>
      </c>
      <c r="E229" s="75">
        <f>H225*C141</f>
        <v>53.847500000000004</v>
      </c>
      <c r="F229" s="34"/>
    </row>
    <row r="230" ht="15">
      <c r="F230" s="34"/>
    </row>
  </sheetData>
  <sheetProtection/>
  <mergeCells count="99">
    <mergeCell ref="B45:C45"/>
    <mergeCell ref="D45:E45"/>
    <mergeCell ref="F45:G45"/>
    <mergeCell ref="H45:I45"/>
    <mergeCell ref="J69:J70"/>
    <mergeCell ref="B69:B70"/>
    <mergeCell ref="G140:K140"/>
    <mergeCell ref="K131:L131"/>
    <mergeCell ref="M131:N131"/>
    <mergeCell ref="B99:G99"/>
    <mergeCell ref="A114:A115"/>
    <mergeCell ref="A133:A137"/>
    <mergeCell ref="B139:F140"/>
    <mergeCell ref="I139:M139"/>
    <mergeCell ref="B114:B115"/>
    <mergeCell ref="B43:H43"/>
    <mergeCell ref="E65:I65"/>
    <mergeCell ref="B67:J67"/>
    <mergeCell ref="J45:K45"/>
    <mergeCell ref="A44:A45"/>
    <mergeCell ref="B44:C44"/>
    <mergeCell ref="D44:E44"/>
    <mergeCell ref="F44:G44"/>
    <mergeCell ref="H44:I44"/>
    <mergeCell ref="J44:K44"/>
    <mergeCell ref="A30:B30"/>
    <mergeCell ref="A20:B20"/>
    <mergeCell ref="C20:D20"/>
    <mergeCell ref="E20:F20"/>
    <mergeCell ref="G20:H20"/>
    <mergeCell ref="A14:G14"/>
    <mergeCell ref="C18:K18"/>
    <mergeCell ref="I20:J20"/>
    <mergeCell ref="K20:L20"/>
    <mergeCell ref="A19:D19"/>
    <mergeCell ref="X2:Y2"/>
    <mergeCell ref="M20:N20"/>
    <mergeCell ref="O20:P20"/>
    <mergeCell ref="Q20:R20"/>
    <mergeCell ref="S20:T20"/>
    <mergeCell ref="U20:V20"/>
    <mergeCell ref="M19:P19"/>
    <mergeCell ref="Q19:V19"/>
    <mergeCell ref="T2:U2"/>
    <mergeCell ref="V2:W2"/>
    <mergeCell ref="N1:Q1"/>
    <mergeCell ref="R1:U1"/>
    <mergeCell ref="V1:Y1"/>
    <mergeCell ref="F2:G2"/>
    <mergeCell ref="H2:I2"/>
    <mergeCell ref="J2:K2"/>
    <mergeCell ref="L2:M2"/>
    <mergeCell ref="N2:O2"/>
    <mergeCell ref="P2:Q2"/>
    <mergeCell ref="R2:S2"/>
    <mergeCell ref="A1:B1"/>
    <mergeCell ref="C1:C2"/>
    <mergeCell ref="D1:D2"/>
    <mergeCell ref="E1:E2"/>
    <mergeCell ref="F1:I1"/>
    <mergeCell ref="J1:M1"/>
    <mergeCell ref="E19:H19"/>
    <mergeCell ref="I19:L19"/>
    <mergeCell ref="C97:E97"/>
    <mergeCell ref="F95:H95"/>
    <mergeCell ref="F96:H96"/>
    <mergeCell ref="F97:H97"/>
    <mergeCell ref="C69:C70"/>
    <mergeCell ref="D69:D70"/>
    <mergeCell ref="E69:I69"/>
    <mergeCell ref="B91:G91"/>
    <mergeCell ref="C114:D114"/>
    <mergeCell ref="E114:F114"/>
    <mergeCell ref="C95:E95"/>
    <mergeCell ref="C96:E96"/>
    <mergeCell ref="I153:K153"/>
    <mergeCell ref="H163:K163"/>
    <mergeCell ref="E145:J145"/>
    <mergeCell ref="B98:H98"/>
    <mergeCell ref="A113:E113"/>
    <mergeCell ref="F107:K107"/>
    <mergeCell ref="O131:P131"/>
    <mergeCell ref="A132:B132"/>
    <mergeCell ref="A126:H126"/>
    <mergeCell ref="A131:B131"/>
    <mergeCell ref="C131:D131"/>
    <mergeCell ref="E131:F131"/>
    <mergeCell ref="G131:H131"/>
    <mergeCell ref="I131:J131"/>
    <mergeCell ref="I130:N130"/>
    <mergeCell ref="B214:D215"/>
    <mergeCell ref="B172:E172"/>
    <mergeCell ref="B174:F174"/>
    <mergeCell ref="B173:E173"/>
    <mergeCell ref="H189:M190"/>
    <mergeCell ref="B176:B177"/>
    <mergeCell ref="C176:C177"/>
    <mergeCell ref="D176:E176"/>
    <mergeCell ref="F176:F1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ШпаркiВоЖ</dc:creator>
  <cp:keywords/>
  <dc:description/>
  <cp:lastModifiedBy>LuSiK</cp:lastModifiedBy>
  <dcterms:created xsi:type="dcterms:W3CDTF">2012-10-17T16:52:09Z</dcterms:created>
  <dcterms:modified xsi:type="dcterms:W3CDTF">2012-11-20T19:51:18Z</dcterms:modified>
  <cp:category/>
  <cp:version/>
  <cp:contentType/>
  <cp:contentStatus/>
</cp:coreProperties>
</file>