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0845" windowHeight="7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<sst xmlns="http://schemas.openxmlformats.org/spreadsheetml/2006/main" count="491" uniqueCount="222">
  <si>
    <t>окончание работы</t>
  </si>
  <si>
    <t>Vi</t>
  </si>
  <si>
    <t>6:00-9:00</t>
  </si>
  <si>
    <t>9:00-15:00</t>
  </si>
  <si>
    <t>15:00-19:00</t>
  </si>
  <si>
    <t>19:00-22:00</t>
  </si>
  <si>
    <t>после  22:00</t>
  </si>
  <si>
    <t>будн</t>
  </si>
  <si>
    <t>вых</t>
  </si>
  <si>
    <t>чпу ti, мин</t>
  </si>
  <si>
    <t>чпу ni, ед</t>
  </si>
  <si>
    <t>мпу ti, мин</t>
  </si>
  <si>
    <t>мпу ni, ед</t>
  </si>
  <si>
    <t>чпв ti, мин</t>
  </si>
  <si>
    <t>чпв ni, ед</t>
  </si>
  <si>
    <t>мпв ti, мин</t>
  </si>
  <si>
    <t>мпв ni, ед</t>
  </si>
  <si>
    <t>Дг ti, мин</t>
  </si>
  <si>
    <t>Дг ni, ед</t>
  </si>
  <si>
    <t>-</t>
  </si>
  <si>
    <t>сумма</t>
  </si>
  <si>
    <t>np</t>
  </si>
  <si>
    <t>nв</t>
  </si>
  <si>
    <t>6:00-9:00 (3)</t>
  </si>
  <si>
    <t>9:00-15:00 (5)</t>
  </si>
  <si>
    <t>15:00-19:00 (4)</t>
  </si>
  <si>
    <t>19:00-22:00 (3)</t>
  </si>
  <si>
    <t>после 22:00</t>
  </si>
  <si>
    <t>чпу Ti, маш. Ч.</t>
  </si>
  <si>
    <t>мпу Ti, маш. Ч.</t>
  </si>
  <si>
    <t>чпв Ti, маш. Ч.</t>
  </si>
  <si>
    <t>мпв Ti, маш. Ч.</t>
  </si>
  <si>
    <t>тау ДГ</t>
  </si>
  <si>
    <t>Дг Ti, маш. Ч.</t>
  </si>
  <si>
    <t>Тр</t>
  </si>
  <si>
    <t>Тв</t>
  </si>
  <si>
    <t>tccp</t>
  </si>
  <si>
    <t>tccв</t>
  </si>
  <si>
    <t>tcc</t>
  </si>
  <si>
    <t>nи</t>
  </si>
  <si>
    <t>Др</t>
  </si>
  <si>
    <t>Дв</t>
  </si>
  <si>
    <t>Tо</t>
  </si>
  <si>
    <t>Tсг</t>
  </si>
  <si>
    <t>чпу Li, мин</t>
  </si>
  <si>
    <t>мпу Li, мин</t>
  </si>
  <si>
    <t>чпв Li, мин</t>
  </si>
  <si>
    <t>мпв Li, мин</t>
  </si>
  <si>
    <t>Дг Li, мин</t>
  </si>
  <si>
    <t>Lp</t>
  </si>
  <si>
    <t>Lв</t>
  </si>
  <si>
    <t>Lccp</t>
  </si>
  <si>
    <t>Lccв</t>
  </si>
  <si>
    <t>Lcc</t>
  </si>
  <si>
    <t>L0</t>
  </si>
  <si>
    <t>Lcг</t>
  </si>
  <si>
    <t>пробег</t>
  </si>
  <si>
    <t>Вид ремонта</t>
  </si>
  <si>
    <t>Qб</t>
  </si>
  <si>
    <t>корректирующий коэффициент</t>
  </si>
  <si>
    <t>Q</t>
  </si>
  <si>
    <t>к1</t>
  </si>
  <si>
    <t>к2</t>
  </si>
  <si>
    <t>к3</t>
  </si>
  <si>
    <t>к4</t>
  </si>
  <si>
    <t>к5</t>
  </si>
  <si>
    <t>ТО-1</t>
  </si>
  <si>
    <t>ТО-2</t>
  </si>
  <si>
    <t>ТО-2(СО)</t>
  </si>
  <si>
    <t>ТР</t>
  </si>
  <si>
    <t>Вид рем. и осл.</t>
  </si>
  <si>
    <t>Количество</t>
  </si>
  <si>
    <t>трудоемкость</t>
  </si>
  <si>
    <t>1 трол.</t>
  </si>
  <si>
    <t>всего</t>
  </si>
  <si>
    <t>ni</t>
  </si>
  <si>
    <t>Норматив. прод. Рем</t>
  </si>
  <si>
    <t>время затрач, на рем.</t>
  </si>
  <si>
    <t>время нах. Рем.</t>
  </si>
  <si>
    <t>время кт, ПС не раб. на мар.</t>
  </si>
  <si>
    <t>n</t>
  </si>
  <si>
    <t>nТР</t>
  </si>
  <si>
    <t>nТO-2</t>
  </si>
  <si>
    <t>nТO-1</t>
  </si>
  <si>
    <t>Дmin</t>
  </si>
  <si>
    <t>Дmax</t>
  </si>
  <si>
    <t>Кол-во</t>
  </si>
  <si>
    <t>Фронт ремонта или обсл</t>
  </si>
  <si>
    <t xml:space="preserve">Число дней с макс </t>
  </si>
  <si>
    <t>min</t>
  </si>
  <si>
    <t>max</t>
  </si>
  <si>
    <t>ТO-1</t>
  </si>
  <si>
    <t>nФ</t>
  </si>
  <si>
    <t>nиуточн</t>
  </si>
  <si>
    <t>авр</t>
  </si>
  <si>
    <t>nEO</t>
  </si>
  <si>
    <t>ТЕОсумм</t>
  </si>
  <si>
    <t>nсумм</t>
  </si>
  <si>
    <t>nбр</t>
  </si>
  <si>
    <t>аврГ</t>
  </si>
  <si>
    <t>Сутки</t>
  </si>
  <si>
    <t>Время смены</t>
  </si>
  <si>
    <t>Бригады</t>
  </si>
  <si>
    <t>ЗР</t>
  </si>
  <si>
    <t>ЕО</t>
  </si>
  <si>
    <t>ЧЯв</t>
  </si>
  <si>
    <t>ЧСв</t>
  </si>
  <si>
    <t>Фр</t>
  </si>
  <si>
    <t>ЧрТО-2</t>
  </si>
  <si>
    <t>ЧрТО-1</t>
  </si>
  <si>
    <t>ЧрТР</t>
  </si>
  <si>
    <t>ЧрЕО</t>
  </si>
  <si>
    <t>ЧрВСП</t>
  </si>
  <si>
    <t>nтрЕО</t>
  </si>
  <si>
    <t>nЕО</t>
  </si>
  <si>
    <t>nД</t>
  </si>
  <si>
    <t>nнр</t>
  </si>
  <si>
    <t>Lму</t>
  </si>
  <si>
    <t>L1</t>
  </si>
  <si>
    <t>L2</t>
  </si>
  <si>
    <t>L3</t>
  </si>
  <si>
    <t>Lпс</t>
  </si>
  <si>
    <t>Lмт</t>
  </si>
  <si>
    <t>Aп</t>
  </si>
  <si>
    <t>Lмк</t>
  </si>
  <si>
    <t>Lоэ</t>
  </si>
  <si>
    <t>м</t>
  </si>
  <si>
    <t>nтрм</t>
  </si>
  <si>
    <t>nтрк</t>
  </si>
  <si>
    <t>Тм</t>
  </si>
  <si>
    <t>Наимен уч и отд</t>
  </si>
  <si>
    <t>Кол-во работ</t>
  </si>
  <si>
    <t>удельная площадь</t>
  </si>
  <si>
    <t>Fп</t>
  </si>
  <si>
    <t>f1</t>
  </si>
  <si>
    <t>f0</t>
  </si>
  <si>
    <t>Агрегатное</t>
  </si>
  <si>
    <t>электротехническое</t>
  </si>
  <si>
    <t>кузнечно -ресорное</t>
  </si>
  <si>
    <t>сварачное</t>
  </si>
  <si>
    <t>столярное</t>
  </si>
  <si>
    <t>Абойное</t>
  </si>
  <si>
    <t>Слесарно-кузовное</t>
  </si>
  <si>
    <t>слесарно-механическое</t>
  </si>
  <si>
    <t>аккамуляторное</t>
  </si>
  <si>
    <t>шиномонтажное</t>
  </si>
  <si>
    <t>Vk</t>
  </si>
  <si>
    <t>vk</t>
  </si>
  <si>
    <t>nкомп</t>
  </si>
  <si>
    <t>v</t>
  </si>
  <si>
    <t>Fк</t>
  </si>
  <si>
    <t>fк</t>
  </si>
  <si>
    <t>Pст</t>
  </si>
  <si>
    <t>p</t>
  </si>
  <si>
    <t>nст</t>
  </si>
  <si>
    <t>Fт</t>
  </si>
  <si>
    <t>Fм</t>
  </si>
  <si>
    <t>fт</t>
  </si>
  <si>
    <t>Р</t>
  </si>
  <si>
    <t>fм</t>
  </si>
  <si>
    <t>fкл</t>
  </si>
  <si>
    <t>Fкл</t>
  </si>
  <si>
    <t>Fст</t>
  </si>
  <si>
    <t>nавт</t>
  </si>
  <si>
    <t>fавт</t>
  </si>
  <si>
    <t>fмаст</t>
  </si>
  <si>
    <t>Fгсм</t>
  </si>
  <si>
    <t>fгсм</t>
  </si>
  <si>
    <t>L</t>
  </si>
  <si>
    <t>n3</t>
  </si>
  <si>
    <t>Lп</t>
  </si>
  <si>
    <t>nоз</t>
  </si>
  <si>
    <t>nпоз</t>
  </si>
  <si>
    <t>k1</t>
  </si>
  <si>
    <t>nкоз</t>
  </si>
  <si>
    <t>k2</t>
  </si>
  <si>
    <t>fп</t>
  </si>
  <si>
    <t>Агв</t>
  </si>
  <si>
    <t>А1</t>
  </si>
  <si>
    <t>Ас</t>
  </si>
  <si>
    <t>Sгв</t>
  </si>
  <si>
    <t>fгв</t>
  </si>
  <si>
    <t>Sмр</t>
  </si>
  <si>
    <t>Sжр</t>
  </si>
  <si>
    <t>Аг</t>
  </si>
  <si>
    <t>fг</t>
  </si>
  <si>
    <t>Sжд</t>
  </si>
  <si>
    <t>Sмд</t>
  </si>
  <si>
    <t>fд</t>
  </si>
  <si>
    <t>Sму</t>
  </si>
  <si>
    <t>Sжу</t>
  </si>
  <si>
    <t>fу</t>
  </si>
  <si>
    <t>Sмуб</t>
  </si>
  <si>
    <t>Sжуб</t>
  </si>
  <si>
    <t>fуб</t>
  </si>
  <si>
    <t>Sз</t>
  </si>
  <si>
    <t>fз</t>
  </si>
  <si>
    <t>Sи</t>
  </si>
  <si>
    <t>fи</t>
  </si>
  <si>
    <t>Sраб места</t>
  </si>
  <si>
    <t>м^2</t>
  </si>
  <si>
    <t>Si,км</t>
  </si>
  <si>
    <t>Vi,км/ч</t>
  </si>
  <si>
    <t>t, мин</t>
  </si>
  <si>
    <t>маш.ч</t>
  </si>
  <si>
    <t>ч</t>
  </si>
  <si>
    <t>ед</t>
  </si>
  <si>
    <t>дн</t>
  </si>
  <si>
    <t>км.ч</t>
  </si>
  <si>
    <t>км</t>
  </si>
  <si>
    <t>маш.км</t>
  </si>
  <si>
    <t>чел</t>
  </si>
  <si>
    <t>тролл</t>
  </si>
  <si>
    <t>мм</t>
  </si>
  <si>
    <t>м^3</t>
  </si>
  <si>
    <t>м^3/ед</t>
  </si>
  <si>
    <t>кВА/ед</t>
  </si>
  <si>
    <t>м^3/мин</t>
  </si>
  <si>
    <t>кВ</t>
  </si>
  <si>
    <t>м^2/ед</t>
  </si>
  <si>
    <t>шт</t>
  </si>
  <si>
    <t>раб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</si>
</sst>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52" applyBorder="1" applyAlignment="1">
      <alignment horizontal="center" vertical="center"/>
      <protection/>
    </xf>
    <xf numFmtId="20" fontId="0" fillId="0" borderId="10" xfId="52" applyNumberFormat="1" applyBorder="1" applyAlignment="1">
      <alignment horizontal="center" vertical="center"/>
      <protection/>
    </xf>
    <xf numFmtId="0" fontId="0" fillId="0" borderId="10" xfId="52" applyBorder="1">
      <alignment/>
      <protection/>
    </xf>
    <xf numFmtId="0" fontId="0" fillId="0" borderId="10" xfId="52" applyBorder="1" applyAlignment="1">
      <alignment vertical="center"/>
      <protection/>
    </xf>
    <xf numFmtId="1" fontId="0" fillId="0" borderId="10" xfId="52" applyNumberFormat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" fontId="0" fillId="0" borderId="10" xfId="52" applyNumberFormat="1" applyBorder="1" applyAlignment="1">
      <alignment horizontal="center"/>
      <protection/>
    </xf>
    <xf numFmtId="1" fontId="0" fillId="0" borderId="10" xfId="52" applyNumberFormat="1" applyBorder="1">
      <alignment/>
      <protection/>
    </xf>
    <xf numFmtId="164" fontId="0" fillId="0" borderId="10" xfId="52" applyNumberFormat="1" applyBorder="1">
      <alignment/>
      <protection/>
    </xf>
    <xf numFmtId="0" fontId="0" fillId="33" borderId="10" xfId="52" applyFill="1" applyBorder="1" applyAlignment="1">
      <alignment horizontal="center" vertical="center"/>
      <protection/>
    </xf>
    <xf numFmtId="2" fontId="0" fillId="0" borderId="10" xfId="52" applyNumberFormat="1" applyBorder="1" applyAlignment="1">
      <alignment horizontal="center" vertical="center"/>
      <protection/>
    </xf>
    <xf numFmtId="0" fontId="0" fillId="33" borderId="10" xfId="52" applyFill="1" applyBorder="1">
      <alignment/>
      <protection/>
    </xf>
    <xf numFmtId="1" fontId="0" fillId="33" borderId="10" xfId="52" applyNumberFormat="1" applyFill="1" applyBorder="1">
      <alignment/>
      <protection/>
    </xf>
    <xf numFmtId="1" fontId="0" fillId="33" borderId="10" xfId="52" applyNumberFormat="1" applyFill="1" applyBorder="1" applyAlignment="1">
      <alignment horizontal="center" vertical="center"/>
      <protection/>
    </xf>
    <xf numFmtId="164" fontId="0" fillId="33" borderId="10" xfId="52" applyNumberForma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0" fillId="33" borderId="0" xfId="52" applyFill="1" applyBorder="1" applyAlignment="1">
      <alignment/>
      <protection/>
    </xf>
    <xf numFmtId="164" fontId="0" fillId="33" borderId="10" xfId="52" applyNumberFormat="1" applyFill="1" applyBorder="1">
      <alignment/>
      <protection/>
    </xf>
    <xf numFmtId="164" fontId="0" fillId="33" borderId="10" xfId="52" applyNumberFormat="1" applyFill="1" applyBorder="1" applyAlignment="1">
      <alignment vertical="center"/>
      <protection/>
    </xf>
    <xf numFmtId="164" fontId="0" fillId="33" borderId="10" xfId="52" applyNumberFormat="1" applyFill="1" applyBorder="1" applyAlignment="1">
      <alignment horizontal="center"/>
      <protection/>
    </xf>
    <xf numFmtId="0" fontId="0" fillId="33" borderId="0" xfId="52" applyFill="1">
      <alignment/>
      <protection/>
    </xf>
    <xf numFmtId="2" fontId="0" fillId="33" borderId="10" xfId="52" applyNumberFormat="1" applyFill="1" applyBorder="1">
      <alignment/>
      <protection/>
    </xf>
    <xf numFmtId="0" fontId="0" fillId="33" borderId="11" xfId="52" applyFill="1" applyBorder="1">
      <alignment/>
      <protection/>
    </xf>
    <xf numFmtId="164" fontId="0" fillId="34" borderId="10" xfId="52" applyNumberForma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0" fillId="34" borderId="10" xfId="52" applyFill="1" applyBorder="1">
      <alignment/>
      <protection/>
    </xf>
    <xf numFmtId="1" fontId="0" fillId="34" borderId="10" xfId="52" applyNumberFormat="1" applyFill="1" applyBorder="1">
      <alignment/>
      <protection/>
    </xf>
    <xf numFmtId="0" fontId="0" fillId="34" borderId="12" xfId="52" applyFill="1" applyBorder="1">
      <alignment/>
      <protection/>
    </xf>
    <xf numFmtId="164" fontId="0" fillId="34" borderId="12" xfId="52" applyNumberFormat="1" applyFill="1" applyBorder="1">
      <alignment/>
      <protection/>
    </xf>
    <xf numFmtId="0" fontId="0" fillId="0" borderId="10" xfId="52" applyBorder="1">
      <alignment/>
      <protection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" fontId="0" fillId="0" borderId="0" xfId="0" applyNumberFormat="1" applyAlignment="1">
      <alignment/>
    </xf>
    <xf numFmtId="20" fontId="36" fillId="0" borderId="10" xfId="0" applyNumberFormat="1" applyFont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1" fontId="38" fillId="33" borderId="10" xfId="0" applyNumberFormat="1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0" fillId="35" borderId="10" xfId="52" applyFill="1" applyBorder="1" applyAlignment="1">
      <alignment horizontal="center"/>
      <protection/>
    </xf>
    <xf numFmtId="0" fontId="0" fillId="33" borderId="10" xfId="52" applyFill="1" applyBorder="1" applyAlignment="1">
      <alignment horizontal="center" vertical="center" wrapText="1"/>
      <protection/>
    </xf>
    <xf numFmtId="0" fontId="0" fillId="36" borderId="10" xfId="52" applyFill="1" applyBorder="1" applyAlignment="1">
      <alignment horizontal="center"/>
      <protection/>
    </xf>
    <xf numFmtId="0" fontId="0" fillId="33" borderId="10" xfId="52" applyFill="1" applyBorder="1" applyAlignment="1">
      <alignment horizontal="center"/>
      <protection/>
    </xf>
    <xf numFmtId="1" fontId="0" fillId="0" borderId="11" xfId="52" applyNumberFormat="1" applyBorder="1" applyAlignment="1">
      <alignment horizontal="center"/>
      <protection/>
    </xf>
    <xf numFmtId="1" fontId="0" fillId="0" borderId="13" xfId="52" applyNumberFormat="1" applyBorder="1" applyAlignment="1">
      <alignment horizontal="center"/>
      <protection/>
    </xf>
    <xf numFmtId="0" fontId="0" fillId="33" borderId="11" xfId="52" applyFill="1" applyBorder="1" applyAlignment="1">
      <alignment horizontal="center"/>
      <protection/>
    </xf>
    <xf numFmtId="0" fontId="0" fillId="33" borderId="13" xfId="52" applyFill="1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1" fontId="0" fillId="33" borderId="11" xfId="52" applyNumberFormat="1" applyFill="1" applyBorder="1" applyAlignment="1">
      <alignment horizontal="center"/>
      <protection/>
    </xf>
    <xf numFmtId="1" fontId="0" fillId="33" borderId="14" xfId="52" applyNumberFormat="1" applyFill="1" applyBorder="1" applyAlignment="1">
      <alignment horizontal="center"/>
      <protection/>
    </xf>
    <xf numFmtId="1" fontId="0" fillId="33" borderId="13" xfId="52" applyNumberFormat="1" applyFill="1" applyBorder="1" applyAlignment="1">
      <alignment horizontal="center"/>
      <protection/>
    </xf>
    <xf numFmtId="20" fontId="0" fillId="35" borderId="10" xfId="52" applyNumberFormat="1" applyFill="1" applyBorder="1" applyAlignment="1">
      <alignment horizont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5" xfId="52" applyFill="1" applyBorder="1" applyAlignment="1">
      <alignment horizontal="center" vertical="center" wrapText="1"/>
      <protection/>
    </xf>
    <xf numFmtId="0" fontId="0" fillId="33" borderId="12" xfId="52" applyFill="1" applyBorder="1" applyAlignment="1">
      <alignment horizontal="center" vertical="center" wrapText="1"/>
      <protection/>
    </xf>
    <xf numFmtId="165" fontId="0" fillId="33" borderId="15" xfId="52" applyNumberFormat="1" applyFill="1" applyBorder="1" applyAlignment="1">
      <alignment horizontal="center" vertical="center" wrapText="1"/>
      <protection/>
    </xf>
    <xf numFmtId="165" fontId="0" fillId="33" borderId="12" xfId="52" applyNumberFormat="1" applyFill="1" applyBorder="1" applyAlignment="1">
      <alignment horizontal="center" vertical="center" wrapText="1"/>
      <protection/>
    </xf>
    <xf numFmtId="0" fontId="0" fillId="33" borderId="11" xfId="52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9"/>
  <sheetViews>
    <sheetView tabSelected="1" zoomScalePageLayoutView="0" workbookViewId="0" topLeftCell="A244">
      <selection activeCell="F273" sqref="F273"/>
    </sheetView>
  </sheetViews>
  <sheetFormatPr defaultColWidth="9.140625" defaultRowHeight="15"/>
  <cols>
    <col min="1" max="1" width="25.57421875" style="0" customWidth="1"/>
    <col min="2" max="2" width="14.57421875" style="0" customWidth="1"/>
    <col min="4" max="4" width="12.00390625" style="0" customWidth="1"/>
    <col min="5" max="5" width="12.7109375" style="0" customWidth="1"/>
    <col min="6" max="6" width="13.28125" style="0" customWidth="1"/>
  </cols>
  <sheetData>
    <row r="1" spans="1:25" ht="15">
      <c r="A1" s="79" t="s">
        <v>0</v>
      </c>
      <c r="B1" s="79"/>
      <c r="C1" s="81" t="s">
        <v>201</v>
      </c>
      <c r="D1" s="81" t="s">
        <v>202</v>
      </c>
      <c r="E1" s="81" t="s">
        <v>203</v>
      </c>
      <c r="F1" s="78" t="s">
        <v>2</v>
      </c>
      <c r="G1" s="78"/>
      <c r="H1" s="78"/>
      <c r="I1" s="78"/>
      <c r="J1" s="80" t="s">
        <v>3</v>
      </c>
      <c r="K1" s="80"/>
      <c r="L1" s="80"/>
      <c r="M1" s="80"/>
      <c r="N1" s="78" t="s">
        <v>4</v>
      </c>
      <c r="O1" s="78"/>
      <c r="P1" s="78"/>
      <c r="Q1" s="78"/>
      <c r="R1" s="80" t="s">
        <v>5</v>
      </c>
      <c r="S1" s="80"/>
      <c r="T1" s="80"/>
      <c r="U1" s="80"/>
      <c r="V1" s="78" t="s">
        <v>6</v>
      </c>
      <c r="W1" s="78"/>
      <c r="X1" s="78"/>
      <c r="Y1" s="78"/>
    </row>
    <row r="2" spans="1:25" ht="15">
      <c r="A2" s="10" t="s">
        <v>7</v>
      </c>
      <c r="B2" s="10" t="s">
        <v>8</v>
      </c>
      <c r="C2" s="81"/>
      <c r="D2" s="81"/>
      <c r="E2" s="81"/>
      <c r="F2" s="79" t="s">
        <v>9</v>
      </c>
      <c r="G2" s="79"/>
      <c r="H2" s="79" t="s">
        <v>10</v>
      </c>
      <c r="I2" s="79"/>
      <c r="J2" s="79" t="s">
        <v>11</v>
      </c>
      <c r="K2" s="79"/>
      <c r="L2" s="79" t="s">
        <v>12</v>
      </c>
      <c r="M2" s="79"/>
      <c r="N2" s="79" t="s">
        <v>13</v>
      </c>
      <c r="O2" s="79"/>
      <c r="P2" s="79" t="s">
        <v>14</v>
      </c>
      <c r="Q2" s="79"/>
      <c r="R2" s="79" t="s">
        <v>15</v>
      </c>
      <c r="S2" s="79"/>
      <c r="T2" s="79" t="s">
        <v>16</v>
      </c>
      <c r="U2" s="79"/>
      <c r="V2" s="79" t="s">
        <v>17</v>
      </c>
      <c r="W2" s="79"/>
      <c r="X2" s="79" t="s">
        <v>18</v>
      </c>
      <c r="Y2" s="79"/>
    </row>
    <row r="3" spans="1:25" ht="15">
      <c r="A3" s="2">
        <v>0.7937500000000001</v>
      </c>
      <c r="B3" s="1" t="s">
        <v>19</v>
      </c>
      <c r="C3" s="3">
        <v>24.8</v>
      </c>
      <c r="D3" s="9">
        <f>C3*60/E3</f>
        <v>18.835443037974684</v>
      </c>
      <c r="E3" s="3">
        <v>79</v>
      </c>
      <c r="F3" s="4">
        <v>20</v>
      </c>
      <c r="G3" s="4">
        <v>0</v>
      </c>
      <c r="H3" s="5">
        <v>4</v>
      </c>
      <c r="I3" s="5" t="s">
        <v>19</v>
      </c>
      <c r="J3" s="6">
        <v>0</v>
      </c>
      <c r="K3" s="6">
        <v>0</v>
      </c>
      <c r="L3" s="7" t="s">
        <v>19</v>
      </c>
      <c r="M3" s="7" t="s">
        <v>19</v>
      </c>
      <c r="N3" s="6">
        <v>26</v>
      </c>
      <c r="O3" s="6">
        <v>0</v>
      </c>
      <c r="P3" s="5">
        <v>3.95</v>
      </c>
      <c r="Q3" s="5" t="s">
        <v>19</v>
      </c>
      <c r="R3" s="6">
        <v>0</v>
      </c>
      <c r="S3" s="6">
        <v>0</v>
      </c>
      <c r="T3" s="11" t="s">
        <v>19</v>
      </c>
      <c r="U3" s="11" t="s">
        <v>19</v>
      </c>
      <c r="V3" s="6">
        <v>0</v>
      </c>
      <c r="W3" s="6">
        <v>0</v>
      </c>
      <c r="X3" s="7" t="s">
        <v>19</v>
      </c>
      <c r="Y3" s="7" t="s">
        <v>19</v>
      </c>
    </row>
    <row r="4" spans="1:25" ht="15">
      <c r="A4" s="2">
        <v>0.07361111111111111</v>
      </c>
      <c r="B4" s="2">
        <v>0.07430555555555556</v>
      </c>
      <c r="C4" s="3">
        <v>31.4</v>
      </c>
      <c r="D4" s="9">
        <f aca="true" t="shared" si="0" ref="D4:D11">C4*60/E4</f>
        <v>17.28440366972477</v>
      </c>
      <c r="E4" s="3">
        <v>109</v>
      </c>
      <c r="F4" s="4">
        <v>4</v>
      </c>
      <c r="G4" s="4">
        <v>4</v>
      </c>
      <c r="H4" s="5">
        <v>28</v>
      </c>
      <c r="I4" s="5">
        <v>28</v>
      </c>
      <c r="J4" s="6">
        <v>6</v>
      </c>
      <c r="K4" s="6">
        <v>4</v>
      </c>
      <c r="L4" s="7">
        <v>19</v>
      </c>
      <c r="M4" s="7">
        <v>28</v>
      </c>
      <c r="N4" s="6">
        <v>4</v>
      </c>
      <c r="O4" s="6">
        <v>4</v>
      </c>
      <c r="P4" s="5">
        <v>28</v>
      </c>
      <c r="Q4" s="5">
        <v>28</v>
      </c>
      <c r="R4" s="6">
        <v>16</v>
      </c>
      <c r="S4" s="6">
        <v>8</v>
      </c>
      <c r="T4" s="5">
        <v>7</v>
      </c>
      <c r="U4" s="5">
        <v>14</v>
      </c>
      <c r="V4" s="6">
        <v>27</v>
      </c>
      <c r="W4" s="6">
        <v>22</v>
      </c>
      <c r="X4" s="7">
        <v>4.954545454545454</v>
      </c>
      <c r="Y4" s="7">
        <v>4.954545454545454</v>
      </c>
    </row>
    <row r="5" spans="1:25" ht="15">
      <c r="A5" s="2">
        <v>0.024305555555555556</v>
      </c>
      <c r="B5" s="2">
        <v>0.024305555555555556</v>
      </c>
      <c r="C5" s="3">
        <v>21.7</v>
      </c>
      <c r="D5" s="9">
        <f t="shared" si="0"/>
        <v>19.432835820895523</v>
      </c>
      <c r="E5" s="3">
        <v>67</v>
      </c>
      <c r="F5" s="4">
        <v>5</v>
      </c>
      <c r="G5" s="4">
        <v>13</v>
      </c>
      <c r="H5" s="5">
        <v>14</v>
      </c>
      <c r="I5" s="5">
        <v>6</v>
      </c>
      <c r="J5" s="6">
        <v>17</v>
      </c>
      <c r="K5" s="6">
        <v>13</v>
      </c>
      <c r="L5" s="7">
        <v>4</v>
      </c>
      <c r="M5" s="7">
        <v>6</v>
      </c>
      <c r="N5" s="6">
        <v>5</v>
      </c>
      <c r="O5" s="6">
        <v>13</v>
      </c>
      <c r="P5" s="5">
        <v>14</v>
      </c>
      <c r="Q5" s="5">
        <v>6</v>
      </c>
      <c r="R5" s="6">
        <v>17</v>
      </c>
      <c r="S5" s="6">
        <v>13</v>
      </c>
      <c r="T5" s="5">
        <v>4</v>
      </c>
      <c r="U5" s="5">
        <v>6</v>
      </c>
      <c r="V5" s="6">
        <v>17</v>
      </c>
      <c r="W5" s="6">
        <v>13</v>
      </c>
      <c r="X5" s="7">
        <v>4</v>
      </c>
      <c r="Y5" s="7">
        <v>6</v>
      </c>
    </row>
    <row r="6" spans="1:25" ht="15">
      <c r="A6" s="2">
        <v>0.06319444444444444</v>
      </c>
      <c r="B6" s="2">
        <v>0.0763888888888889</v>
      </c>
      <c r="C6" s="3">
        <v>30.9</v>
      </c>
      <c r="D6" s="9">
        <f t="shared" si="0"/>
        <v>16.4070796460177</v>
      </c>
      <c r="E6" s="3">
        <v>113</v>
      </c>
      <c r="F6" s="4">
        <v>7</v>
      </c>
      <c r="G6" s="4">
        <v>8</v>
      </c>
      <c r="H6" s="5">
        <v>17</v>
      </c>
      <c r="I6" s="5">
        <v>15</v>
      </c>
      <c r="J6" s="6">
        <v>9</v>
      </c>
      <c r="K6" s="6">
        <v>8</v>
      </c>
      <c r="L6" s="7">
        <v>13</v>
      </c>
      <c r="M6" s="7">
        <v>15</v>
      </c>
      <c r="N6" s="6">
        <v>7</v>
      </c>
      <c r="O6" s="6">
        <v>8</v>
      </c>
      <c r="P6" s="5">
        <v>17</v>
      </c>
      <c r="Q6" s="5">
        <v>15</v>
      </c>
      <c r="R6" s="6">
        <v>28</v>
      </c>
      <c r="S6" s="6">
        <v>16</v>
      </c>
      <c r="T6" s="5">
        <v>5</v>
      </c>
      <c r="U6" s="5">
        <v>8</v>
      </c>
      <c r="V6" s="6">
        <v>28</v>
      </c>
      <c r="W6" s="6">
        <v>23</v>
      </c>
      <c r="X6" s="7">
        <v>4.913043478260869</v>
      </c>
      <c r="Y6" s="7">
        <v>4.913043478260869</v>
      </c>
    </row>
    <row r="7" spans="1:25" ht="15">
      <c r="A7" s="2">
        <v>0.06388888888888888</v>
      </c>
      <c r="B7" s="2">
        <v>0.06458333333333334</v>
      </c>
      <c r="C7" s="3">
        <v>33.1</v>
      </c>
      <c r="D7" s="9">
        <f t="shared" si="0"/>
        <v>18.220183486238533</v>
      </c>
      <c r="E7" s="3">
        <v>109</v>
      </c>
      <c r="F7" s="4">
        <v>6</v>
      </c>
      <c r="G7" s="4">
        <v>7</v>
      </c>
      <c r="H7" s="5">
        <v>18</v>
      </c>
      <c r="I7" s="5">
        <v>15.571428571428571</v>
      </c>
      <c r="J7" s="6">
        <v>11</v>
      </c>
      <c r="K7" s="6">
        <v>7</v>
      </c>
      <c r="L7" s="7">
        <v>10</v>
      </c>
      <c r="M7" s="7">
        <v>16</v>
      </c>
      <c r="N7" s="6">
        <v>6</v>
      </c>
      <c r="O7" s="6">
        <v>7</v>
      </c>
      <c r="P7" s="5">
        <v>18</v>
      </c>
      <c r="Q7" s="5">
        <v>15.571428571428571</v>
      </c>
      <c r="R7" s="6">
        <v>16</v>
      </c>
      <c r="S7" s="6">
        <v>14</v>
      </c>
      <c r="T7" s="5">
        <v>7</v>
      </c>
      <c r="U7" s="5">
        <v>16</v>
      </c>
      <c r="V7" s="6">
        <v>22</v>
      </c>
      <c r="W7" s="6">
        <v>18</v>
      </c>
      <c r="X7" s="7">
        <v>5</v>
      </c>
      <c r="Y7" s="7">
        <v>7</v>
      </c>
    </row>
    <row r="8" spans="1:25" ht="15">
      <c r="A8" s="2">
        <v>0.8173611111111111</v>
      </c>
      <c r="B8" s="1" t="s">
        <v>19</v>
      </c>
      <c r="C8" s="3">
        <v>24.3</v>
      </c>
      <c r="D8" s="9">
        <f t="shared" si="0"/>
        <v>18.692307692307693</v>
      </c>
      <c r="E8" s="3">
        <v>78</v>
      </c>
      <c r="F8" s="4">
        <v>20</v>
      </c>
      <c r="G8" s="4">
        <v>0</v>
      </c>
      <c r="H8" s="5">
        <v>4</v>
      </c>
      <c r="I8" s="5" t="s">
        <v>19</v>
      </c>
      <c r="J8" s="6">
        <v>0</v>
      </c>
      <c r="K8" s="6">
        <v>0</v>
      </c>
      <c r="L8" s="7" t="s">
        <v>19</v>
      </c>
      <c r="M8" s="7" t="s">
        <v>19</v>
      </c>
      <c r="N8" s="6">
        <v>20</v>
      </c>
      <c r="O8" s="6">
        <v>0</v>
      </c>
      <c r="P8" s="5">
        <v>4</v>
      </c>
      <c r="Q8" s="5" t="s">
        <v>19</v>
      </c>
      <c r="R8" s="6">
        <v>0</v>
      </c>
      <c r="S8" s="6">
        <v>0</v>
      </c>
      <c r="T8" s="5" t="s">
        <v>19</v>
      </c>
      <c r="U8" s="5" t="s">
        <v>19</v>
      </c>
      <c r="V8" s="6">
        <v>0</v>
      </c>
      <c r="W8" s="6">
        <v>0</v>
      </c>
      <c r="X8" s="7" t="s">
        <v>19</v>
      </c>
      <c r="Y8" s="7" t="s">
        <v>19</v>
      </c>
    </row>
    <row r="9" spans="1:25" ht="15">
      <c r="A9" s="2">
        <v>0.7881944444444445</v>
      </c>
      <c r="B9" s="1" t="s">
        <v>19</v>
      </c>
      <c r="C9" s="3">
        <v>30.5</v>
      </c>
      <c r="D9" s="9">
        <f t="shared" si="0"/>
        <v>17.941176470588236</v>
      </c>
      <c r="E9" s="3">
        <v>102</v>
      </c>
      <c r="F9" s="4">
        <v>26</v>
      </c>
      <c r="G9" s="4">
        <v>0</v>
      </c>
      <c r="H9" s="5">
        <v>4</v>
      </c>
      <c r="I9" s="5" t="s">
        <v>19</v>
      </c>
      <c r="J9" s="6">
        <v>0</v>
      </c>
      <c r="K9" s="6">
        <v>0</v>
      </c>
      <c r="L9" s="7" t="s">
        <v>19</v>
      </c>
      <c r="M9" s="7" t="s">
        <v>19</v>
      </c>
      <c r="N9" s="6">
        <v>26</v>
      </c>
      <c r="O9" s="6">
        <v>0</v>
      </c>
      <c r="P9" s="5">
        <v>3.923076923076923</v>
      </c>
      <c r="Q9" s="5" t="s">
        <v>19</v>
      </c>
      <c r="R9" s="6">
        <v>0</v>
      </c>
      <c r="S9" s="6">
        <v>0</v>
      </c>
      <c r="T9" s="5" t="s">
        <v>19</v>
      </c>
      <c r="U9" s="5" t="s">
        <v>19</v>
      </c>
      <c r="V9" s="6">
        <v>0</v>
      </c>
      <c r="W9" s="6">
        <v>0</v>
      </c>
      <c r="X9" s="7" t="s">
        <v>19</v>
      </c>
      <c r="Y9" s="7" t="s">
        <v>19</v>
      </c>
    </row>
    <row r="10" spans="1:25" ht="15">
      <c r="A10" s="2">
        <v>0.8263888888888888</v>
      </c>
      <c r="B10" s="2">
        <v>0.6875</v>
      </c>
      <c r="C10" s="3">
        <v>25.5</v>
      </c>
      <c r="D10" s="9">
        <f t="shared" si="0"/>
        <v>17.386363636363637</v>
      </c>
      <c r="E10" s="3">
        <v>88</v>
      </c>
      <c r="F10" s="4">
        <v>29</v>
      </c>
      <c r="G10" s="4">
        <v>44</v>
      </c>
      <c r="H10" s="5">
        <v>4</v>
      </c>
      <c r="I10" s="5">
        <v>2</v>
      </c>
      <c r="J10" s="6">
        <v>29</v>
      </c>
      <c r="K10" s="6">
        <v>44</v>
      </c>
      <c r="L10" s="7">
        <v>4</v>
      </c>
      <c r="M10" s="7">
        <v>2</v>
      </c>
      <c r="N10" s="6">
        <v>29</v>
      </c>
      <c r="O10" s="6">
        <v>44</v>
      </c>
      <c r="P10" s="5">
        <v>4</v>
      </c>
      <c r="Q10" s="5">
        <v>2</v>
      </c>
      <c r="R10" s="6">
        <v>29</v>
      </c>
      <c r="S10" s="6">
        <v>88</v>
      </c>
      <c r="T10" s="5">
        <v>4</v>
      </c>
      <c r="U10" s="5">
        <v>1</v>
      </c>
      <c r="V10" s="6">
        <v>0</v>
      </c>
      <c r="W10" s="6">
        <v>0</v>
      </c>
      <c r="X10" s="7" t="s">
        <v>19</v>
      </c>
      <c r="Y10" s="7" t="s">
        <v>19</v>
      </c>
    </row>
    <row r="11" spans="1:25" ht="15">
      <c r="A11" s="2">
        <v>0.9375</v>
      </c>
      <c r="B11" s="2">
        <v>0.9125</v>
      </c>
      <c r="C11" s="3">
        <v>19.1</v>
      </c>
      <c r="D11" s="9">
        <f t="shared" si="0"/>
        <v>17.104477611940297</v>
      </c>
      <c r="E11" s="3">
        <v>67</v>
      </c>
      <c r="F11" s="4">
        <v>22</v>
      </c>
      <c r="G11" s="4">
        <v>17</v>
      </c>
      <c r="H11" s="5">
        <v>4</v>
      </c>
      <c r="I11" s="5">
        <v>3.9411764705882355</v>
      </c>
      <c r="J11" s="6">
        <v>22</v>
      </c>
      <c r="K11" s="6">
        <v>17</v>
      </c>
      <c r="L11" s="7">
        <v>4</v>
      </c>
      <c r="M11" s="7">
        <v>3.9411764705882355</v>
      </c>
      <c r="N11" s="6">
        <v>34</v>
      </c>
      <c r="O11" s="6">
        <v>17</v>
      </c>
      <c r="P11" s="5">
        <v>1.9705882352941178</v>
      </c>
      <c r="Q11" s="5">
        <v>3.9411764705882355</v>
      </c>
      <c r="R11" s="6">
        <v>34</v>
      </c>
      <c r="S11" s="6">
        <v>34</v>
      </c>
      <c r="T11" s="5">
        <v>1.9705882352941178</v>
      </c>
      <c r="U11" s="5">
        <v>1.9705882352941178</v>
      </c>
      <c r="V11" s="6">
        <v>0</v>
      </c>
      <c r="W11" s="6">
        <v>67</v>
      </c>
      <c r="X11" s="7" t="s">
        <v>19</v>
      </c>
      <c r="Y11" s="7">
        <v>1</v>
      </c>
    </row>
    <row r="12" spans="1:25" ht="15">
      <c r="A12" s="86" t="s">
        <v>20</v>
      </c>
      <c r="B12" s="86"/>
      <c r="C12" s="86"/>
      <c r="D12" s="86"/>
      <c r="E12" s="86"/>
      <c r="F12" s="86"/>
      <c r="G12" s="86"/>
      <c r="H12" s="8">
        <f>SUM(H3:H11)</f>
        <v>97</v>
      </c>
      <c r="I12" s="8">
        <f>SUM(I3:I11)</f>
        <v>70.5126050420168</v>
      </c>
      <c r="J12" s="82"/>
      <c r="K12" s="83"/>
      <c r="L12" s="8">
        <f>SUM(L3:L11)</f>
        <v>54</v>
      </c>
      <c r="M12" s="8">
        <f>SUM(M3:M11)</f>
        <v>70.94117647058823</v>
      </c>
      <c r="N12" s="82"/>
      <c r="O12" s="83"/>
      <c r="P12" s="8">
        <f>SUM(P3:P11)</f>
        <v>94.84366515837104</v>
      </c>
      <c r="Q12" s="8">
        <f>SUM(Q3:Q11)</f>
        <v>70.5126050420168</v>
      </c>
      <c r="R12" s="82"/>
      <c r="S12" s="83"/>
      <c r="T12" s="8">
        <f>SUM(T3:T11)</f>
        <v>28.970588235294116</v>
      </c>
      <c r="U12" s="8">
        <f>SUM(U3:U11)</f>
        <v>46.970588235294116</v>
      </c>
      <c r="V12" s="82"/>
      <c r="W12" s="83"/>
      <c r="X12" s="8">
        <v>22.07699064220803</v>
      </c>
      <c r="Y12" s="8">
        <v>22.07699064220803</v>
      </c>
    </row>
    <row r="14" spans="1:4" ht="15">
      <c r="A14" s="12" t="s">
        <v>21</v>
      </c>
      <c r="B14" s="13">
        <f>MAX(H12,L12,P12,T12,X12)</f>
        <v>97</v>
      </c>
      <c r="C14" s="12" t="s">
        <v>22</v>
      </c>
      <c r="D14" s="13">
        <f>MAX(I12,M12,Q12,U12,Y12)</f>
        <v>70.94117647058823</v>
      </c>
    </row>
    <row r="17" spans="1:22" ht="15">
      <c r="A17" s="90" t="s">
        <v>23</v>
      </c>
      <c r="B17" s="90"/>
      <c r="C17" s="90"/>
      <c r="D17" s="90"/>
      <c r="E17" s="80" t="s">
        <v>24</v>
      </c>
      <c r="F17" s="80"/>
      <c r="G17" s="80"/>
      <c r="H17" s="80"/>
      <c r="I17" s="78" t="s">
        <v>25</v>
      </c>
      <c r="J17" s="78"/>
      <c r="K17" s="78"/>
      <c r="L17" s="78"/>
      <c r="M17" s="80" t="s">
        <v>26</v>
      </c>
      <c r="N17" s="80"/>
      <c r="O17" s="80"/>
      <c r="P17" s="80"/>
      <c r="Q17" s="78" t="s">
        <v>27</v>
      </c>
      <c r="R17" s="78"/>
      <c r="S17" s="78"/>
      <c r="T17" s="78"/>
      <c r="U17" s="78"/>
      <c r="V17" s="78"/>
    </row>
    <row r="18" spans="1:22" ht="15" customHeight="1">
      <c r="A18" s="79" t="s">
        <v>10</v>
      </c>
      <c r="B18" s="79"/>
      <c r="C18" s="84" t="s">
        <v>28</v>
      </c>
      <c r="D18" s="85"/>
      <c r="E18" s="79" t="s">
        <v>12</v>
      </c>
      <c r="F18" s="79"/>
      <c r="G18" s="84" t="s">
        <v>29</v>
      </c>
      <c r="H18" s="85"/>
      <c r="I18" s="79" t="s">
        <v>14</v>
      </c>
      <c r="J18" s="79"/>
      <c r="K18" s="84" t="s">
        <v>30</v>
      </c>
      <c r="L18" s="85"/>
      <c r="M18" s="79" t="s">
        <v>16</v>
      </c>
      <c r="N18" s="79"/>
      <c r="O18" s="84" t="s">
        <v>31</v>
      </c>
      <c r="P18" s="85"/>
      <c r="Q18" s="81" t="s">
        <v>32</v>
      </c>
      <c r="R18" s="81"/>
      <c r="S18" s="79" t="s">
        <v>18</v>
      </c>
      <c r="T18" s="79"/>
      <c r="U18" s="84" t="s">
        <v>33</v>
      </c>
      <c r="V18" s="85"/>
    </row>
    <row r="19" spans="1:22" ht="15">
      <c r="A19" s="14">
        <v>4</v>
      </c>
      <c r="B19" s="14" t="s">
        <v>19</v>
      </c>
      <c r="C19" s="14">
        <f>A19*3</f>
        <v>12</v>
      </c>
      <c r="D19" s="14" t="s">
        <v>19</v>
      </c>
      <c r="E19" s="14" t="s">
        <v>19</v>
      </c>
      <c r="F19" s="14" t="s">
        <v>19</v>
      </c>
      <c r="G19" s="14" t="s">
        <v>19</v>
      </c>
      <c r="H19" s="14" t="s">
        <v>19</v>
      </c>
      <c r="I19" s="14">
        <v>4</v>
      </c>
      <c r="J19" s="14" t="s">
        <v>19</v>
      </c>
      <c r="K19" s="14">
        <f>I19*4</f>
        <v>16</v>
      </c>
      <c r="L19" s="14" t="s">
        <v>19</v>
      </c>
      <c r="M19" s="14" t="s">
        <v>19</v>
      </c>
      <c r="N19" s="14" t="s">
        <v>19</v>
      </c>
      <c r="O19" s="14" t="s">
        <v>19</v>
      </c>
      <c r="P19" s="14" t="s">
        <v>19</v>
      </c>
      <c r="Q19" s="14" t="s">
        <v>19</v>
      </c>
      <c r="R19" s="14" t="s">
        <v>19</v>
      </c>
      <c r="S19" s="14" t="s">
        <v>19</v>
      </c>
      <c r="T19" s="14" t="s">
        <v>19</v>
      </c>
      <c r="U19" s="14" t="s">
        <v>19</v>
      </c>
      <c r="V19" s="14" t="s">
        <v>19</v>
      </c>
    </row>
    <row r="20" spans="1:22" ht="15">
      <c r="A20" s="14">
        <v>28</v>
      </c>
      <c r="B20" s="14">
        <v>28</v>
      </c>
      <c r="C20" s="14">
        <f aca="true" t="shared" si="1" ref="C20:C27">A20*3</f>
        <v>84</v>
      </c>
      <c r="D20" s="14">
        <f aca="true" t="shared" si="2" ref="D20:D27">B20*3</f>
        <v>84</v>
      </c>
      <c r="E20" s="14">
        <v>19</v>
      </c>
      <c r="F20" s="14">
        <v>28</v>
      </c>
      <c r="G20" s="14">
        <f aca="true" t="shared" si="3" ref="G20:G27">E20*5</f>
        <v>95</v>
      </c>
      <c r="H20" s="14">
        <f aca="true" t="shared" si="4" ref="H20:H27">F20*5</f>
        <v>140</v>
      </c>
      <c r="I20" s="14">
        <v>28</v>
      </c>
      <c r="J20" s="14">
        <v>28</v>
      </c>
      <c r="K20" s="14">
        <f aca="true" t="shared" si="5" ref="K20:K27">I20*4</f>
        <v>112</v>
      </c>
      <c r="L20" s="14">
        <f aca="true" t="shared" si="6" ref="L20:L27">J20*4</f>
        <v>112</v>
      </c>
      <c r="M20" s="14">
        <v>7</v>
      </c>
      <c r="N20" s="14">
        <v>14</v>
      </c>
      <c r="O20" s="14">
        <f aca="true" t="shared" si="7" ref="O20:O27">M20*3</f>
        <v>21</v>
      </c>
      <c r="P20" s="14">
        <f aca="true" t="shared" si="8" ref="P20:P27">N20*3</f>
        <v>42</v>
      </c>
      <c r="Q20" s="14">
        <v>4</v>
      </c>
      <c r="R20" s="14">
        <v>4</v>
      </c>
      <c r="S20" s="14">
        <v>5</v>
      </c>
      <c r="T20" s="14">
        <v>5</v>
      </c>
      <c r="U20" s="14">
        <f>S20*Q20</f>
        <v>20</v>
      </c>
      <c r="V20" s="14">
        <f>T20*R20</f>
        <v>20</v>
      </c>
    </row>
    <row r="21" spans="1:22" ht="15">
      <c r="A21" s="14">
        <v>14</v>
      </c>
      <c r="B21" s="14">
        <v>6</v>
      </c>
      <c r="C21" s="14">
        <f t="shared" si="1"/>
        <v>42</v>
      </c>
      <c r="D21" s="14">
        <f t="shared" si="2"/>
        <v>18</v>
      </c>
      <c r="E21" s="14">
        <v>4</v>
      </c>
      <c r="F21" s="14">
        <v>6</v>
      </c>
      <c r="G21" s="14">
        <f t="shared" si="3"/>
        <v>20</v>
      </c>
      <c r="H21" s="14">
        <f t="shared" si="4"/>
        <v>30</v>
      </c>
      <c r="I21" s="14">
        <v>14</v>
      </c>
      <c r="J21" s="14">
        <v>6</v>
      </c>
      <c r="K21" s="14">
        <f t="shared" si="5"/>
        <v>56</v>
      </c>
      <c r="L21" s="14">
        <f t="shared" si="6"/>
        <v>24</v>
      </c>
      <c r="M21" s="14">
        <v>4</v>
      </c>
      <c r="N21" s="14">
        <v>6</v>
      </c>
      <c r="O21" s="14">
        <f t="shared" si="7"/>
        <v>12</v>
      </c>
      <c r="P21" s="14">
        <f t="shared" si="8"/>
        <v>18</v>
      </c>
      <c r="Q21" s="14">
        <v>2.5</v>
      </c>
      <c r="R21" s="14">
        <v>2.5</v>
      </c>
      <c r="S21" s="14">
        <v>4</v>
      </c>
      <c r="T21" s="14">
        <v>6</v>
      </c>
      <c r="U21" s="14">
        <f>S21*Q21</f>
        <v>10</v>
      </c>
      <c r="V21" s="14">
        <f>T21*R21</f>
        <v>15</v>
      </c>
    </row>
    <row r="22" spans="1:22" ht="15">
      <c r="A22" s="14">
        <v>17</v>
      </c>
      <c r="B22" s="14">
        <v>15</v>
      </c>
      <c r="C22" s="14">
        <f t="shared" si="1"/>
        <v>51</v>
      </c>
      <c r="D22" s="14">
        <f t="shared" si="2"/>
        <v>45</v>
      </c>
      <c r="E22" s="14">
        <v>13</v>
      </c>
      <c r="F22" s="14">
        <v>15</v>
      </c>
      <c r="G22" s="14">
        <f t="shared" si="3"/>
        <v>65</v>
      </c>
      <c r="H22" s="14">
        <f t="shared" si="4"/>
        <v>75</v>
      </c>
      <c r="I22" s="14">
        <v>17</v>
      </c>
      <c r="J22" s="14">
        <v>15</v>
      </c>
      <c r="K22" s="14">
        <f t="shared" si="5"/>
        <v>68</v>
      </c>
      <c r="L22" s="14">
        <f t="shared" si="6"/>
        <v>60</v>
      </c>
      <c r="M22" s="14">
        <v>5</v>
      </c>
      <c r="N22" s="14">
        <v>8</v>
      </c>
      <c r="O22" s="14">
        <f t="shared" si="7"/>
        <v>15</v>
      </c>
      <c r="P22" s="14">
        <f t="shared" si="8"/>
        <v>24</v>
      </c>
      <c r="Q22" s="14">
        <v>3.5</v>
      </c>
      <c r="R22" s="14">
        <v>4</v>
      </c>
      <c r="S22" s="14">
        <v>5</v>
      </c>
      <c r="T22" s="14">
        <v>5</v>
      </c>
      <c r="U22" s="14">
        <f>S22*Q22</f>
        <v>17.5</v>
      </c>
      <c r="V22" s="14">
        <f>T22*R22</f>
        <v>20</v>
      </c>
    </row>
    <row r="23" spans="1:22" ht="15">
      <c r="A23" s="14">
        <v>19</v>
      </c>
      <c r="B23" s="14">
        <v>16</v>
      </c>
      <c r="C23" s="14">
        <f t="shared" si="1"/>
        <v>57</v>
      </c>
      <c r="D23" s="14">
        <f t="shared" si="2"/>
        <v>48</v>
      </c>
      <c r="E23" s="14">
        <v>10</v>
      </c>
      <c r="F23" s="14">
        <v>16</v>
      </c>
      <c r="G23" s="14">
        <f t="shared" si="3"/>
        <v>50</v>
      </c>
      <c r="H23" s="14">
        <f t="shared" si="4"/>
        <v>80</v>
      </c>
      <c r="I23" s="14">
        <v>19</v>
      </c>
      <c r="J23" s="14">
        <v>16</v>
      </c>
      <c r="K23" s="14">
        <f t="shared" si="5"/>
        <v>76</v>
      </c>
      <c r="L23" s="14">
        <f t="shared" si="6"/>
        <v>64</v>
      </c>
      <c r="M23" s="14">
        <v>7</v>
      </c>
      <c r="N23" s="14">
        <v>8</v>
      </c>
      <c r="O23" s="14">
        <f t="shared" si="7"/>
        <v>21</v>
      </c>
      <c r="P23" s="14">
        <f t="shared" si="8"/>
        <v>24</v>
      </c>
      <c r="Q23" s="14">
        <v>3.5</v>
      </c>
      <c r="R23" s="14">
        <v>3.5</v>
      </c>
      <c r="S23" s="14">
        <v>5</v>
      </c>
      <c r="T23" s="14">
        <v>7</v>
      </c>
      <c r="U23" s="14">
        <f>S23*Q23</f>
        <v>17.5</v>
      </c>
      <c r="V23" s="14">
        <f>T23*R23</f>
        <v>24.5</v>
      </c>
    </row>
    <row r="24" spans="1:22" ht="15">
      <c r="A24" s="14">
        <v>4</v>
      </c>
      <c r="B24" s="14" t="s">
        <v>19</v>
      </c>
      <c r="C24" s="14">
        <f t="shared" si="1"/>
        <v>12</v>
      </c>
      <c r="D24" s="14" t="s">
        <v>19</v>
      </c>
      <c r="E24" s="14" t="s">
        <v>19</v>
      </c>
      <c r="F24" s="14" t="s">
        <v>19</v>
      </c>
      <c r="G24" s="14" t="s">
        <v>19</v>
      </c>
      <c r="H24" s="14" t="s">
        <v>19</v>
      </c>
      <c r="I24" s="14">
        <v>4</v>
      </c>
      <c r="J24" s="14" t="s">
        <v>19</v>
      </c>
      <c r="K24" s="14">
        <f t="shared" si="5"/>
        <v>16</v>
      </c>
      <c r="L24" s="14" t="s">
        <v>19</v>
      </c>
      <c r="M24" s="14" t="s">
        <v>19</v>
      </c>
      <c r="N24" s="14" t="s">
        <v>19</v>
      </c>
      <c r="O24" s="14" t="s">
        <v>19</v>
      </c>
      <c r="P24" s="14" t="s">
        <v>19</v>
      </c>
      <c r="Q24" s="14" t="s">
        <v>19</v>
      </c>
      <c r="R24" s="14" t="s">
        <v>19</v>
      </c>
      <c r="S24" s="14" t="s">
        <v>19</v>
      </c>
      <c r="T24" s="14" t="s">
        <v>19</v>
      </c>
      <c r="U24" s="14" t="s">
        <v>19</v>
      </c>
      <c r="V24" s="14" t="s">
        <v>19</v>
      </c>
    </row>
    <row r="25" spans="1:22" ht="15">
      <c r="A25" s="14">
        <v>4</v>
      </c>
      <c r="B25" s="14" t="s">
        <v>19</v>
      </c>
      <c r="C25" s="14">
        <f t="shared" si="1"/>
        <v>12</v>
      </c>
      <c r="D25" s="14" t="s">
        <v>19</v>
      </c>
      <c r="E25" s="14" t="s">
        <v>19</v>
      </c>
      <c r="F25" s="14" t="s">
        <v>19</v>
      </c>
      <c r="G25" s="14" t="s">
        <v>19</v>
      </c>
      <c r="H25" s="14" t="s">
        <v>19</v>
      </c>
      <c r="I25" s="14">
        <v>4</v>
      </c>
      <c r="J25" s="14" t="s">
        <v>19</v>
      </c>
      <c r="K25" s="14">
        <f t="shared" si="5"/>
        <v>16</v>
      </c>
      <c r="L25" s="14" t="s">
        <v>19</v>
      </c>
      <c r="M25" s="14" t="s">
        <v>19</v>
      </c>
      <c r="N25" s="14" t="s">
        <v>19</v>
      </c>
      <c r="O25" s="14" t="s">
        <v>19</v>
      </c>
      <c r="P25" s="14" t="s">
        <v>19</v>
      </c>
      <c r="Q25" s="14" t="s">
        <v>19</v>
      </c>
      <c r="R25" s="14" t="s">
        <v>19</v>
      </c>
      <c r="S25" s="14" t="s">
        <v>19</v>
      </c>
      <c r="T25" s="14" t="s">
        <v>19</v>
      </c>
      <c r="U25" s="14" t="s">
        <v>19</v>
      </c>
      <c r="V25" s="14" t="s">
        <v>19</v>
      </c>
    </row>
    <row r="26" spans="1:22" ht="15">
      <c r="A26" s="14">
        <v>4</v>
      </c>
      <c r="B26" s="14">
        <f>E10/G10</f>
        <v>2</v>
      </c>
      <c r="C26" s="14">
        <f t="shared" si="1"/>
        <v>12</v>
      </c>
      <c r="D26" s="14">
        <f t="shared" si="2"/>
        <v>6</v>
      </c>
      <c r="E26" s="14">
        <v>4</v>
      </c>
      <c r="F26" s="14">
        <f>E10/K10</f>
        <v>2</v>
      </c>
      <c r="G26" s="14">
        <f t="shared" si="3"/>
        <v>20</v>
      </c>
      <c r="H26" s="14">
        <f t="shared" si="4"/>
        <v>10</v>
      </c>
      <c r="I26" s="14">
        <v>4</v>
      </c>
      <c r="J26" s="14">
        <f>E10/O10</f>
        <v>2</v>
      </c>
      <c r="K26" s="14">
        <f t="shared" si="5"/>
        <v>16</v>
      </c>
      <c r="L26" s="14">
        <f t="shared" si="6"/>
        <v>8</v>
      </c>
      <c r="M26" s="14">
        <v>4</v>
      </c>
      <c r="N26" s="14">
        <f>E10/S10</f>
        <v>1</v>
      </c>
      <c r="O26" s="14">
        <f t="shared" si="7"/>
        <v>12</v>
      </c>
      <c r="P26" s="14">
        <f t="shared" si="8"/>
        <v>3</v>
      </c>
      <c r="Q26" s="14" t="s">
        <v>19</v>
      </c>
      <c r="R26" s="14" t="s">
        <v>19</v>
      </c>
      <c r="S26" s="14" t="s">
        <v>19</v>
      </c>
      <c r="T26" s="14" t="s">
        <v>19</v>
      </c>
      <c r="U26" s="14" t="s">
        <v>19</v>
      </c>
      <c r="V26" s="14" t="s">
        <v>19</v>
      </c>
    </row>
    <row r="27" spans="1:22" ht="15">
      <c r="A27" s="14">
        <v>4</v>
      </c>
      <c r="B27" s="14">
        <v>4</v>
      </c>
      <c r="C27" s="14">
        <f t="shared" si="1"/>
        <v>12</v>
      </c>
      <c r="D27" s="14">
        <f t="shared" si="2"/>
        <v>12</v>
      </c>
      <c r="E27" s="14">
        <v>4</v>
      </c>
      <c r="F27" s="14">
        <v>4</v>
      </c>
      <c r="G27" s="14">
        <f t="shared" si="3"/>
        <v>20</v>
      </c>
      <c r="H27" s="14">
        <f t="shared" si="4"/>
        <v>20</v>
      </c>
      <c r="I27" s="14">
        <v>2</v>
      </c>
      <c r="J27" s="14">
        <v>4</v>
      </c>
      <c r="K27" s="14">
        <f t="shared" si="5"/>
        <v>8</v>
      </c>
      <c r="L27" s="14">
        <f t="shared" si="6"/>
        <v>16</v>
      </c>
      <c r="M27" s="14">
        <v>2</v>
      </c>
      <c r="N27" s="14">
        <v>2</v>
      </c>
      <c r="O27" s="14">
        <f t="shared" si="7"/>
        <v>6</v>
      </c>
      <c r="P27" s="14">
        <f t="shared" si="8"/>
        <v>6</v>
      </c>
      <c r="Q27" s="14">
        <v>0.5</v>
      </c>
      <c r="R27" s="14" t="s">
        <v>19</v>
      </c>
      <c r="S27" s="14" t="s">
        <v>19</v>
      </c>
      <c r="T27" s="14">
        <f>E11/W11</f>
        <v>1</v>
      </c>
      <c r="U27" s="14" t="s">
        <v>19</v>
      </c>
      <c r="V27" s="14" t="s">
        <v>19</v>
      </c>
    </row>
    <row r="28" spans="1:22" ht="15">
      <c r="A28" s="81" t="s">
        <v>20</v>
      </c>
      <c r="B28" s="81"/>
      <c r="C28" s="13">
        <f>SUM(C19:C27)</f>
        <v>294</v>
      </c>
      <c r="D28" s="13">
        <f>SUM(D19:D27)</f>
        <v>213</v>
      </c>
      <c r="E28" s="87"/>
      <c r="F28" s="89"/>
      <c r="G28" s="13">
        <f>SUM(G19:G27)</f>
        <v>270</v>
      </c>
      <c r="H28" s="13">
        <f>SUM(H19:H27)</f>
        <v>355</v>
      </c>
      <c r="I28" s="87"/>
      <c r="J28" s="89"/>
      <c r="K28" s="13">
        <f>SUM(K19:K27)</f>
        <v>384</v>
      </c>
      <c r="L28" s="13">
        <f>SUM(L19:L27)</f>
        <v>284</v>
      </c>
      <c r="M28" s="87"/>
      <c r="N28" s="89"/>
      <c r="O28" s="13">
        <f>SUM(O19:O27)</f>
        <v>87</v>
      </c>
      <c r="P28" s="13">
        <f>SUM(P19:P27)</f>
        <v>117</v>
      </c>
      <c r="Q28" s="87"/>
      <c r="R28" s="88"/>
      <c r="S28" s="88"/>
      <c r="T28" s="89"/>
      <c r="U28" s="13">
        <f>SUM(U19:U27)</f>
        <v>65</v>
      </c>
      <c r="V28" s="13">
        <f>SUM(V19:V27)</f>
        <v>79.5</v>
      </c>
    </row>
    <row r="30" spans="1:4" ht="15">
      <c r="A30" s="18"/>
      <c r="B30" s="18"/>
      <c r="C30" s="18"/>
      <c r="D30" s="18"/>
    </row>
    <row r="31" spans="1:5" ht="15">
      <c r="A31" s="63" t="s">
        <v>34</v>
      </c>
      <c r="B31" s="64">
        <f>SUM(C28,G28,K28,O28,U28)</f>
        <v>1100</v>
      </c>
      <c r="C31" s="65" t="s">
        <v>35</v>
      </c>
      <c r="D31" s="64">
        <f>SUM(D28,H28,L28,P28,V28)</f>
        <v>1048.5</v>
      </c>
      <c r="E31" s="66" t="s">
        <v>204</v>
      </c>
    </row>
    <row r="32" spans="1:5" ht="15">
      <c r="A32" s="67" t="s">
        <v>36</v>
      </c>
      <c r="B32" s="68">
        <f>B31/B14</f>
        <v>11.34020618556701</v>
      </c>
      <c r="C32" s="67" t="s">
        <v>37</v>
      </c>
      <c r="D32" s="68">
        <f>D31/D14</f>
        <v>14.779850746268657</v>
      </c>
      <c r="E32" s="66" t="s">
        <v>205</v>
      </c>
    </row>
    <row r="33" spans="1:3" ht="15">
      <c r="A33" s="17" t="s">
        <v>38</v>
      </c>
      <c r="B33" s="34">
        <f>(B32*B37+D32*B38)/365</f>
        <v>12.426727821140028</v>
      </c>
      <c r="C33" t="s">
        <v>205</v>
      </c>
    </row>
    <row r="34" spans="1:3" ht="15">
      <c r="A34" s="12" t="s">
        <v>42</v>
      </c>
      <c r="B34" s="17">
        <f>B31*B37+D31*B38</f>
        <v>396832</v>
      </c>
      <c r="C34" t="s">
        <v>204</v>
      </c>
    </row>
    <row r="35" spans="1:3" ht="15">
      <c r="A35" s="12" t="s">
        <v>43</v>
      </c>
      <c r="B35" s="19">
        <f>B34/B36</f>
        <v>3252.72131147541</v>
      </c>
      <c r="C35" t="s">
        <v>205</v>
      </c>
    </row>
    <row r="36" spans="1:3" ht="15">
      <c r="A36" s="12" t="s">
        <v>39</v>
      </c>
      <c r="B36" s="17">
        <v>122</v>
      </c>
      <c r="C36" t="s">
        <v>206</v>
      </c>
    </row>
    <row r="37" spans="1:3" ht="15">
      <c r="A37" s="12" t="s">
        <v>40</v>
      </c>
      <c r="B37" s="17">
        <v>254</v>
      </c>
      <c r="C37" t="s">
        <v>207</v>
      </c>
    </row>
    <row r="38" spans="1:3" ht="15">
      <c r="A38" s="12" t="s">
        <v>41</v>
      </c>
      <c r="B38" s="17">
        <v>112</v>
      </c>
      <c r="C38" t="s">
        <v>207</v>
      </c>
    </row>
    <row r="41" spans="1:11" ht="15">
      <c r="A41" s="81" t="s">
        <v>1</v>
      </c>
      <c r="B41" s="78" t="s">
        <v>2</v>
      </c>
      <c r="C41" s="78"/>
      <c r="D41" s="80" t="s">
        <v>3</v>
      </c>
      <c r="E41" s="80"/>
      <c r="F41" s="78" t="s">
        <v>4</v>
      </c>
      <c r="G41" s="78"/>
      <c r="H41" s="80" t="s">
        <v>5</v>
      </c>
      <c r="I41" s="80"/>
      <c r="J41" s="78" t="s">
        <v>6</v>
      </c>
      <c r="K41" s="78"/>
    </row>
    <row r="42" spans="1:11" ht="15">
      <c r="A42" s="81"/>
      <c r="B42" s="79" t="s">
        <v>44</v>
      </c>
      <c r="C42" s="79"/>
      <c r="D42" s="79" t="s">
        <v>45</v>
      </c>
      <c r="E42" s="79"/>
      <c r="F42" s="79" t="s">
        <v>46</v>
      </c>
      <c r="G42" s="79"/>
      <c r="H42" s="79" t="s">
        <v>47</v>
      </c>
      <c r="I42" s="79"/>
      <c r="J42" s="79" t="s">
        <v>48</v>
      </c>
      <c r="K42" s="79"/>
    </row>
    <row r="43" spans="1:11" ht="15">
      <c r="A43" s="21">
        <v>18.835443037974684</v>
      </c>
      <c r="B43" s="22">
        <f>A43*C19</f>
        <v>226.0253164556962</v>
      </c>
      <c r="C43" s="15" t="s">
        <v>19</v>
      </c>
      <c r="D43" s="23" t="s">
        <v>19</v>
      </c>
      <c r="E43" s="23" t="s">
        <v>19</v>
      </c>
      <c r="F43" s="23">
        <f>A43*K19</f>
        <v>301.36708860759495</v>
      </c>
      <c r="G43" s="23" t="s">
        <v>19</v>
      </c>
      <c r="H43" s="23" t="s">
        <v>19</v>
      </c>
      <c r="I43" s="23" t="s">
        <v>19</v>
      </c>
      <c r="J43" s="23" t="s">
        <v>19</v>
      </c>
      <c r="K43" s="23" t="s">
        <v>19</v>
      </c>
    </row>
    <row r="44" spans="1:11" ht="15">
      <c r="A44" s="21">
        <v>17.284403669724767</v>
      </c>
      <c r="B44" s="22">
        <f aca="true" t="shared" si="9" ref="B44:B51">A44*C20</f>
        <v>1451.8899082568805</v>
      </c>
      <c r="C44" s="15">
        <f aca="true" t="shared" si="10" ref="C44:C51">A44*D20</f>
        <v>1451.8899082568805</v>
      </c>
      <c r="D44" s="23">
        <f aca="true" t="shared" si="11" ref="D44:D51">A44*G20</f>
        <v>1642.018348623853</v>
      </c>
      <c r="E44" s="23">
        <f aca="true" t="shared" si="12" ref="E44:E51">A44*H20</f>
        <v>2419.8165137614674</v>
      </c>
      <c r="F44" s="23">
        <f aca="true" t="shared" si="13" ref="F44:F51">A44*K20</f>
        <v>1935.853211009174</v>
      </c>
      <c r="G44" s="23">
        <f aca="true" t="shared" si="14" ref="G44:G51">A44*L20</f>
        <v>1935.853211009174</v>
      </c>
      <c r="H44" s="23">
        <f aca="true" t="shared" si="15" ref="H44:H51">A44*O20</f>
        <v>362.97247706422013</v>
      </c>
      <c r="I44" s="23">
        <f aca="true" t="shared" si="16" ref="I44:I51">A44*P20</f>
        <v>725.9449541284403</v>
      </c>
      <c r="J44" s="23">
        <f>A44*U20</f>
        <v>345.68807339449535</v>
      </c>
      <c r="K44" s="23">
        <f>A44*V20</f>
        <v>345.68807339449535</v>
      </c>
    </row>
    <row r="45" spans="1:11" ht="15">
      <c r="A45" s="21">
        <v>19.432835820895523</v>
      </c>
      <c r="B45" s="22">
        <f t="shared" si="9"/>
        <v>816.179104477612</v>
      </c>
      <c r="C45" s="15">
        <f t="shared" si="10"/>
        <v>349.7910447761194</v>
      </c>
      <c r="D45" s="23">
        <f t="shared" si="11"/>
        <v>388.65671641791045</v>
      </c>
      <c r="E45" s="23">
        <f t="shared" si="12"/>
        <v>582.9850746268656</v>
      </c>
      <c r="F45" s="23">
        <f t="shared" si="13"/>
        <v>1088.2388059701493</v>
      </c>
      <c r="G45" s="23">
        <f t="shared" si="14"/>
        <v>466.3880597014926</v>
      </c>
      <c r="H45" s="23">
        <f t="shared" si="15"/>
        <v>233.1940298507463</v>
      </c>
      <c r="I45" s="23">
        <f t="shared" si="16"/>
        <v>349.7910447761194</v>
      </c>
      <c r="J45" s="23">
        <f>A45*U21</f>
        <v>194.32835820895522</v>
      </c>
      <c r="K45" s="23">
        <f>A45*V21</f>
        <v>291.4925373134328</v>
      </c>
    </row>
    <row r="46" spans="1:11" ht="15">
      <c r="A46" s="21">
        <v>16.4070796460177</v>
      </c>
      <c r="B46" s="22">
        <f t="shared" si="9"/>
        <v>836.7610619469027</v>
      </c>
      <c r="C46" s="15">
        <f t="shared" si="10"/>
        <v>738.3185840707964</v>
      </c>
      <c r="D46" s="23">
        <f t="shared" si="11"/>
        <v>1066.4601769911505</v>
      </c>
      <c r="E46" s="23">
        <f t="shared" si="12"/>
        <v>1230.5309734513276</v>
      </c>
      <c r="F46" s="23">
        <f t="shared" si="13"/>
        <v>1115.6814159292035</v>
      </c>
      <c r="G46" s="23">
        <f t="shared" si="14"/>
        <v>984.4247787610619</v>
      </c>
      <c r="H46" s="23">
        <f t="shared" si="15"/>
        <v>246.10619469026548</v>
      </c>
      <c r="I46" s="23">
        <f t="shared" si="16"/>
        <v>393.7699115044248</v>
      </c>
      <c r="J46" s="23">
        <f>A46*U22</f>
        <v>287.12389380530976</v>
      </c>
      <c r="K46" s="23">
        <f>A46*V22</f>
        <v>328.141592920354</v>
      </c>
    </row>
    <row r="47" spans="1:11" ht="15">
      <c r="A47" s="21">
        <v>18.220183486238533</v>
      </c>
      <c r="B47" s="22">
        <f t="shared" si="9"/>
        <v>1038.5504587155963</v>
      </c>
      <c r="C47" s="15">
        <f t="shared" si="10"/>
        <v>874.5688073394496</v>
      </c>
      <c r="D47" s="23">
        <f t="shared" si="11"/>
        <v>911.0091743119266</v>
      </c>
      <c r="E47" s="23">
        <f t="shared" si="12"/>
        <v>1457.6146788990827</v>
      </c>
      <c r="F47" s="23">
        <f t="shared" si="13"/>
        <v>1384.7339449541284</v>
      </c>
      <c r="G47" s="23">
        <f t="shared" si="14"/>
        <v>1166.091743119266</v>
      </c>
      <c r="H47" s="23">
        <f t="shared" si="15"/>
        <v>382.6238532110092</v>
      </c>
      <c r="I47" s="23">
        <f t="shared" si="16"/>
        <v>437.2844036697248</v>
      </c>
      <c r="J47" s="23">
        <f>A47*U23</f>
        <v>318.85321100917434</v>
      </c>
      <c r="K47" s="23">
        <f>A47*V23</f>
        <v>446.39449541284404</v>
      </c>
    </row>
    <row r="48" spans="1:11" ht="15">
      <c r="A48" s="21">
        <v>18.692307692307693</v>
      </c>
      <c r="B48" s="22">
        <f t="shared" si="9"/>
        <v>224.30769230769232</v>
      </c>
      <c r="C48" s="15" t="s">
        <v>19</v>
      </c>
      <c r="D48" s="23" t="s">
        <v>19</v>
      </c>
      <c r="E48" s="23" t="s">
        <v>19</v>
      </c>
      <c r="F48" s="23">
        <f t="shared" si="13"/>
        <v>299.0769230769231</v>
      </c>
      <c r="G48" s="23" t="s">
        <v>19</v>
      </c>
      <c r="H48" s="23" t="s">
        <v>19</v>
      </c>
      <c r="I48" s="23" t="s">
        <v>19</v>
      </c>
      <c r="J48" s="23" t="s">
        <v>19</v>
      </c>
      <c r="K48" s="23" t="s">
        <v>19</v>
      </c>
    </row>
    <row r="49" spans="1:11" ht="15">
      <c r="A49" s="21">
        <v>17.941176470588236</v>
      </c>
      <c r="B49" s="22">
        <f t="shared" si="9"/>
        <v>215.29411764705884</v>
      </c>
      <c r="C49" s="15" t="s">
        <v>19</v>
      </c>
      <c r="D49" s="23" t="s">
        <v>19</v>
      </c>
      <c r="E49" s="23" t="s">
        <v>19</v>
      </c>
      <c r="F49" s="23">
        <f t="shared" si="13"/>
        <v>287.05882352941177</v>
      </c>
      <c r="G49" s="23" t="s">
        <v>19</v>
      </c>
      <c r="H49" s="23" t="s">
        <v>19</v>
      </c>
      <c r="I49" s="23" t="s">
        <v>19</v>
      </c>
      <c r="J49" s="23" t="s">
        <v>19</v>
      </c>
      <c r="K49" s="23" t="s">
        <v>19</v>
      </c>
    </row>
    <row r="50" spans="1:11" ht="15">
      <c r="A50" s="21">
        <v>17.386363636363637</v>
      </c>
      <c r="B50" s="22">
        <f t="shared" si="9"/>
        <v>208.63636363636363</v>
      </c>
      <c r="C50" s="15">
        <f t="shared" si="10"/>
        <v>104.31818181818181</v>
      </c>
      <c r="D50" s="23">
        <f t="shared" si="11"/>
        <v>347.72727272727275</v>
      </c>
      <c r="E50" s="23">
        <f t="shared" si="12"/>
        <v>173.86363636363637</v>
      </c>
      <c r="F50" s="23">
        <f t="shared" si="13"/>
        <v>278.1818181818182</v>
      </c>
      <c r="G50" s="23">
        <f t="shared" si="14"/>
        <v>139.0909090909091</v>
      </c>
      <c r="H50" s="23">
        <f t="shared" si="15"/>
        <v>208.63636363636363</v>
      </c>
      <c r="I50" s="23">
        <f t="shared" si="16"/>
        <v>52.15909090909091</v>
      </c>
      <c r="J50" s="23" t="s">
        <v>19</v>
      </c>
      <c r="K50" s="23" t="s">
        <v>19</v>
      </c>
    </row>
    <row r="51" spans="1:11" ht="15">
      <c r="A51" s="21">
        <v>17.104477611940297</v>
      </c>
      <c r="B51" s="22">
        <f t="shared" si="9"/>
        <v>205.25373134328356</v>
      </c>
      <c r="C51" s="15">
        <f t="shared" si="10"/>
        <v>205.25373134328356</v>
      </c>
      <c r="D51" s="23">
        <f t="shared" si="11"/>
        <v>342.08955223880594</v>
      </c>
      <c r="E51" s="23">
        <f t="shared" si="12"/>
        <v>342.08955223880594</v>
      </c>
      <c r="F51" s="23">
        <f t="shared" si="13"/>
        <v>136.83582089552237</v>
      </c>
      <c r="G51" s="23">
        <f t="shared" si="14"/>
        <v>273.67164179104475</v>
      </c>
      <c r="H51" s="23">
        <f t="shared" si="15"/>
        <v>102.62686567164178</v>
      </c>
      <c r="I51" s="23">
        <f t="shared" si="16"/>
        <v>102.62686567164178</v>
      </c>
      <c r="J51" s="23" t="s">
        <v>19</v>
      </c>
      <c r="K51" s="23" t="s">
        <v>19</v>
      </c>
    </row>
    <row r="52" spans="1:11" ht="15">
      <c r="A52" s="12" t="s">
        <v>20</v>
      </c>
      <c r="B52" s="21">
        <f aca="true" t="shared" si="17" ref="B52:K52">SUM(B43:B51)</f>
        <v>5222.897754787085</v>
      </c>
      <c r="C52" s="21">
        <f t="shared" si="17"/>
        <v>3724.140257604711</v>
      </c>
      <c r="D52" s="21">
        <f t="shared" si="17"/>
        <v>4697.961241310919</v>
      </c>
      <c r="E52" s="21">
        <f t="shared" si="17"/>
        <v>6206.900429341185</v>
      </c>
      <c r="F52" s="21">
        <f t="shared" si="17"/>
        <v>6827.027852153925</v>
      </c>
      <c r="G52" s="21">
        <f t="shared" si="17"/>
        <v>4965.520343472948</v>
      </c>
      <c r="H52" s="21">
        <f t="shared" si="17"/>
        <v>1536.1597841242467</v>
      </c>
      <c r="I52" s="21">
        <f t="shared" si="17"/>
        <v>2061.576270659442</v>
      </c>
      <c r="J52" s="21">
        <f t="shared" si="17"/>
        <v>1145.9935364179346</v>
      </c>
      <c r="K52" s="21">
        <f t="shared" si="17"/>
        <v>1411.7166990411263</v>
      </c>
    </row>
    <row r="53" spans="1:11" ht="15">
      <c r="A53" s="31" t="s">
        <v>49</v>
      </c>
      <c r="B53" s="32">
        <f>SUM(B52,D52,F52,H52,J52)</f>
        <v>19430.040168794112</v>
      </c>
      <c r="C53" s="20" t="s">
        <v>208</v>
      </c>
      <c r="D53" s="20"/>
      <c r="E53" s="20"/>
      <c r="F53" s="20"/>
      <c r="G53" s="20"/>
      <c r="H53" s="20"/>
      <c r="I53" s="20"/>
      <c r="J53" s="20"/>
      <c r="K53" s="20"/>
    </row>
    <row r="54" spans="1:11" ht="15">
      <c r="A54" s="29" t="s">
        <v>50</v>
      </c>
      <c r="B54" s="27">
        <f>SUM(C52,E52,G52,I52,K52)</f>
        <v>18369.854000119416</v>
      </c>
      <c r="C54" s="20" t="s">
        <v>208</v>
      </c>
      <c r="D54" s="20"/>
      <c r="E54" s="20"/>
      <c r="F54" s="20"/>
      <c r="G54" s="20"/>
      <c r="H54" s="20"/>
      <c r="I54" s="20"/>
      <c r="J54" s="20"/>
      <c r="K54" s="20"/>
    </row>
    <row r="55" spans="1:11" ht="15">
      <c r="A55" s="29" t="s">
        <v>51</v>
      </c>
      <c r="B55" s="28">
        <f>B53/B14</f>
        <v>200.30969246179498</v>
      </c>
      <c r="C55" s="20" t="s">
        <v>209</v>
      </c>
      <c r="D55" s="20"/>
      <c r="E55" s="20"/>
      <c r="F55" s="20"/>
      <c r="G55" s="20"/>
      <c r="H55" s="20"/>
      <c r="I55" s="20"/>
      <c r="J55" s="20"/>
      <c r="K55" s="20"/>
    </row>
    <row r="56" spans="1:11" ht="15">
      <c r="A56" s="29" t="s">
        <v>52</v>
      </c>
      <c r="B56" s="28">
        <f>B54/D14</f>
        <v>258.94487396519906</v>
      </c>
      <c r="C56" s="20" t="s">
        <v>209</v>
      </c>
      <c r="D56" s="20"/>
      <c r="E56" s="20"/>
      <c r="F56" s="20"/>
      <c r="G56" s="20"/>
      <c r="H56" s="20"/>
      <c r="I56" s="20"/>
      <c r="J56" s="20"/>
      <c r="K56" s="20"/>
    </row>
    <row r="57" spans="1:11" ht="15">
      <c r="A57" s="29" t="s">
        <v>53</v>
      </c>
      <c r="B57" s="28">
        <f>(B55*B37+B56*B38)/365</f>
        <v>218.8506514230088</v>
      </c>
      <c r="C57" s="20" t="s">
        <v>209</v>
      </c>
      <c r="D57" s="20"/>
      <c r="E57" s="20"/>
      <c r="F57" s="20"/>
      <c r="G57" s="20"/>
      <c r="H57" s="20"/>
      <c r="I57" s="20"/>
      <c r="J57" s="20"/>
      <c r="K57" s="20"/>
    </row>
    <row r="58" spans="1:11" ht="15">
      <c r="A58" s="29" t="s">
        <v>54</v>
      </c>
      <c r="B58" s="29">
        <f>B53*B37+B54*B38</f>
        <v>6992653.850887079</v>
      </c>
      <c r="C58" s="20" t="s">
        <v>210</v>
      </c>
      <c r="D58" s="20"/>
      <c r="E58" s="20"/>
      <c r="F58" s="20"/>
      <c r="G58" s="20"/>
      <c r="H58" s="20"/>
      <c r="I58" s="20"/>
      <c r="J58" s="20"/>
      <c r="K58" s="20"/>
    </row>
    <row r="59" spans="1:11" ht="15">
      <c r="A59" s="29" t="s">
        <v>55</v>
      </c>
      <c r="B59" s="30">
        <f>B58/B36</f>
        <v>57316.834843336714</v>
      </c>
      <c r="C59" s="20" t="s">
        <v>209</v>
      </c>
      <c r="D59" s="20"/>
      <c r="E59" s="20"/>
      <c r="F59" s="20"/>
      <c r="G59" s="20"/>
      <c r="H59" s="20"/>
      <c r="I59" s="20"/>
      <c r="J59" s="20"/>
      <c r="K59" s="20"/>
    </row>
    <row r="62" spans="1:9" ht="15">
      <c r="A62" s="91" t="s">
        <v>56</v>
      </c>
      <c r="B62" s="79" t="s">
        <v>57</v>
      </c>
      <c r="C62" s="91" t="s">
        <v>58</v>
      </c>
      <c r="D62" s="81" t="s">
        <v>59</v>
      </c>
      <c r="E62" s="81"/>
      <c r="F62" s="81"/>
      <c r="G62" s="81"/>
      <c r="H62" s="81"/>
      <c r="I62" s="91" t="s">
        <v>60</v>
      </c>
    </row>
    <row r="63" spans="1:9" ht="15">
      <c r="A63" s="91"/>
      <c r="B63" s="79"/>
      <c r="C63" s="91"/>
      <c r="D63" s="12" t="s">
        <v>61</v>
      </c>
      <c r="E63" s="12" t="s">
        <v>62</v>
      </c>
      <c r="F63" s="12" t="s">
        <v>63</v>
      </c>
      <c r="G63" s="12" t="s">
        <v>64</v>
      </c>
      <c r="H63" s="12" t="s">
        <v>65</v>
      </c>
      <c r="I63" s="91"/>
    </row>
    <row r="64" spans="1:9" ht="15">
      <c r="A64" s="33">
        <v>200</v>
      </c>
      <c r="B64" s="33" t="s">
        <v>66</v>
      </c>
      <c r="C64" s="33">
        <v>10.1</v>
      </c>
      <c r="D64" s="33">
        <v>1</v>
      </c>
      <c r="E64" s="33">
        <v>1</v>
      </c>
      <c r="F64" s="33">
        <v>1.25</v>
      </c>
      <c r="G64" s="33">
        <v>1</v>
      </c>
      <c r="H64" s="33">
        <v>1.05</v>
      </c>
      <c r="I64" s="33">
        <f>C64*D64*E64*F64*G64*H64</f>
        <v>13.256250000000001</v>
      </c>
    </row>
    <row r="65" spans="1:9" ht="15">
      <c r="A65" s="33">
        <v>202.5</v>
      </c>
      <c r="B65" s="33" t="s">
        <v>66</v>
      </c>
      <c r="C65" s="33">
        <v>10.1</v>
      </c>
      <c r="D65" s="33">
        <v>1</v>
      </c>
      <c r="E65" s="33">
        <v>1</v>
      </c>
      <c r="F65" s="33">
        <v>1.25</v>
      </c>
      <c r="G65" s="33">
        <v>1</v>
      </c>
      <c r="H65" s="33">
        <v>1.05</v>
      </c>
      <c r="I65" s="33">
        <f aca="true" t="shared" si="18" ref="I65:I83">C65*D65*E65*F65*G65*H65</f>
        <v>13.256250000000001</v>
      </c>
    </row>
    <row r="66" spans="1:9" ht="15">
      <c r="A66" s="33">
        <v>205</v>
      </c>
      <c r="B66" s="33" t="s">
        <v>67</v>
      </c>
      <c r="C66" s="33">
        <v>32.6</v>
      </c>
      <c r="D66" s="33">
        <v>1</v>
      </c>
      <c r="E66" s="33">
        <v>1</v>
      </c>
      <c r="F66" s="33">
        <v>1.25</v>
      </c>
      <c r="G66" s="33">
        <v>1</v>
      </c>
      <c r="H66" s="33">
        <v>1.05</v>
      </c>
      <c r="I66" s="33">
        <f t="shared" si="18"/>
        <v>42.7875</v>
      </c>
    </row>
    <row r="67" spans="1:9" ht="15">
      <c r="A67" s="33">
        <v>207.5</v>
      </c>
      <c r="B67" s="33" t="s">
        <v>66</v>
      </c>
      <c r="C67" s="33">
        <v>10.1</v>
      </c>
      <c r="D67" s="33">
        <v>1</v>
      </c>
      <c r="E67" s="33">
        <v>1</v>
      </c>
      <c r="F67" s="33">
        <v>1.25</v>
      </c>
      <c r="G67" s="33">
        <v>1</v>
      </c>
      <c r="H67" s="33">
        <v>1.05</v>
      </c>
      <c r="I67" s="33">
        <f t="shared" si="18"/>
        <v>13.256250000000001</v>
      </c>
    </row>
    <row r="68" spans="1:9" ht="15">
      <c r="A68" s="33">
        <v>210</v>
      </c>
      <c r="B68" s="33" t="s">
        <v>66</v>
      </c>
      <c r="C68" s="33">
        <v>10.1</v>
      </c>
      <c r="D68" s="33">
        <v>1</v>
      </c>
      <c r="E68" s="33">
        <v>1</v>
      </c>
      <c r="F68" s="33">
        <v>1.25</v>
      </c>
      <c r="G68" s="33">
        <v>1</v>
      </c>
      <c r="H68" s="33">
        <v>1.05</v>
      </c>
      <c r="I68" s="33">
        <f t="shared" si="18"/>
        <v>13.256250000000001</v>
      </c>
    </row>
    <row r="69" spans="1:9" ht="15">
      <c r="A69" s="33">
        <v>212.5</v>
      </c>
      <c r="B69" s="33" t="s">
        <v>66</v>
      </c>
      <c r="C69" s="33">
        <v>10.1</v>
      </c>
      <c r="D69" s="33">
        <v>1</v>
      </c>
      <c r="E69" s="33">
        <v>1</v>
      </c>
      <c r="F69" s="33">
        <v>1.25</v>
      </c>
      <c r="G69" s="33">
        <v>1</v>
      </c>
      <c r="H69" s="33">
        <v>1.05</v>
      </c>
      <c r="I69" s="33">
        <f t="shared" si="18"/>
        <v>13.256250000000001</v>
      </c>
    </row>
    <row r="70" spans="1:9" ht="15">
      <c r="A70" s="33">
        <v>215</v>
      </c>
      <c r="B70" s="33" t="s">
        <v>68</v>
      </c>
      <c r="C70" s="33">
        <v>39.12</v>
      </c>
      <c r="D70" s="33">
        <v>1</v>
      </c>
      <c r="E70" s="33">
        <v>1</v>
      </c>
      <c r="F70" s="33">
        <v>1</v>
      </c>
      <c r="G70" s="33">
        <v>1</v>
      </c>
      <c r="H70" s="33">
        <v>1.05</v>
      </c>
      <c r="I70" s="33">
        <f t="shared" si="18"/>
        <v>41.076</v>
      </c>
    </row>
    <row r="71" spans="1:9" ht="15">
      <c r="A71" s="33">
        <v>217.5</v>
      </c>
      <c r="B71" s="33" t="s">
        <v>66</v>
      </c>
      <c r="C71" s="33">
        <v>10.1</v>
      </c>
      <c r="D71" s="33">
        <v>1</v>
      </c>
      <c r="E71" s="33">
        <v>1</v>
      </c>
      <c r="F71" s="33">
        <v>1</v>
      </c>
      <c r="G71" s="33">
        <v>1</v>
      </c>
      <c r="H71" s="33">
        <v>1.05</v>
      </c>
      <c r="I71" s="33">
        <f t="shared" si="18"/>
        <v>10.605</v>
      </c>
    </row>
    <row r="72" spans="1:9" ht="15">
      <c r="A72" s="33">
        <v>220</v>
      </c>
      <c r="B72" s="33" t="s">
        <v>66</v>
      </c>
      <c r="C72" s="33">
        <v>10.1</v>
      </c>
      <c r="D72" s="33">
        <v>1</v>
      </c>
      <c r="E72" s="33">
        <v>1</v>
      </c>
      <c r="F72" s="33">
        <v>1</v>
      </c>
      <c r="G72" s="33">
        <v>1</v>
      </c>
      <c r="H72" s="33">
        <v>1.05</v>
      </c>
      <c r="I72" s="33">
        <f t="shared" si="18"/>
        <v>10.605</v>
      </c>
    </row>
    <row r="73" spans="1:9" ht="15">
      <c r="A73" s="33">
        <v>222.5</v>
      </c>
      <c r="B73" s="33" t="s">
        <v>66</v>
      </c>
      <c r="C73" s="33">
        <v>10.1</v>
      </c>
      <c r="D73" s="33">
        <v>1</v>
      </c>
      <c r="E73" s="33">
        <v>1</v>
      </c>
      <c r="F73" s="33">
        <v>1</v>
      </c>
      <c r="G73" s="33">
        <v>1</v>
      </c>
      <c r="H73" s="33">
        <v>1.05</v>
      </c>
      <c r="I73" s="33">
        <f t="shared" si="18"/>
        <v>10.605</v>
      </c>
    </row>
    <row r="74" spans="1:9" ht="15">
      <c r="A74" s="33">
        <v>225</v>
      </c>
      <c r="B74" s="33" t="s">
        <v>67</v>
      </c>
      <c r="C74" s="33">
        <v>32.6</v>
      </c>
      <c r="D74" s="33">
        <v>1</v>
      </c>
      <c r="E74" s="33">
        <v>1</v>
      </c>
      <c r="F74" s="33">
        <v>1</v>
      </c>
      <c r="G74" s="33">
        <v>1</v>
      </c>
      <c r="H74" s="33">
        <v>1.05</v>
      </c>
      <c r="I74" s="33">
        <f t="shared" si="18"/>
        <v>34.230000000000004</v>
      </c>
    </row>
    <row r="75" spans="1:9" ht="15">
      <c r="A75" s="33">
        <v>227.5</v>
      </c>
      <c r="B75" s="33" t="s">
        <v>66</v>
      </c>
      <c r="C75" s="33">
        <v>10.1</v>
      </c>
      <c r="D75" s="33">
        <v>1</v>
      </c>
      <c r="E75" s="33">
        <v>1</v>
      </c>
      <c r="F75" s="33">
        <v>1</v>
      </c>
      <c r="G75" s="33">
        <v>1</v>
      </c>
      <c r="H75" s="33">
        <v>1.05</v>
      </c>
      <c r="I75" s="33">
        <f t="shared" si="18"/>
        <v>10.605</v>
      </c>
    </row>
    <row r="76" spans="1:9" ht="15">
      <c r="A76" s="33">
        <v>230</v>
      </c>
      <c r="B76" s="33" t="s">
        <v>69</v>
      </c>
      <c r="C76" s="33">
        <v>1723</v>
      </c>
      <c r="D76" s="33">
        <v>1</v>
      </c>
      <c r="E76" s="33">
        <v>1</v>
      </c>
      <c r="F76" s="33">
        <v>1</v>
      </c>
      <c r="G76" s="33">
        <v>1</v>
      </c>
      <c r="H76" s="33">
        <v>1.05</v>
      </c>
      <c r="I76" s="33">
        <f t="shared" si="18"/>
        <v>1809.15</v>
      </c>
    </row>
    <row r="77" spans="1:9" ht="15">
      <c r="A77" s="33">
        <v>232.5</v>
      </c>
      <c r="B77" s="33" t="s">
        <v>66</v>
      </c>
      <c r="C77" s="33">
        <v>10.1</v>
      </c>
      <c r="D77" s="33">
        <v>1</v>
      </c>
      <c r="E77" s="33">
        <v>1</v>
      </c>
      <c r="F77" s="33">
        <v>1</v>
      </c>
      <c r="G77" s="33">
        <v>1</v>
      </c>
      <c r="H77" s="33">
        <v>1.05</v>
      </c>
      <c r="I77" s="33">
        <f t="shared" si="18"/>
        <v>10.605</v>
      </c>
    </row>
    <row r="78" spans="1:9" ht="15">
      <c r="A78" s="33">
        <v>235</v>
      </c>
      <c r="B78" s="33" t="s">
        <v>66</v>
      </c>
      <c r="C78" s="33">
        <v>10.1</v>
      </c>
      <c r="D78" s="33">
        <v>1</v>
      </c>
      <c r="E78" s="33">
        <v>1</v>
      </c>
      <c r="F78" s="33">
        <v>1</v>
      </c>
      <c r="G78" s="33">
        <v>1</v>
      </c>
      <c r="H78" s="33">
        <v>1.05</v>
      </c>
      <c r="I78" s="33">
        <f t="shared" si="18"/>
        <v>10.605</v>
      </c>
    </row>
    <row r="79" spans="1:9" ht="15">
      <c r="A79" s="33">
        <v>237.5</v>
      </c>
      <c r="B79" s="33" t="s">
        <v>66</v>
      </c>
      <c r="C79" s="33">
        <v>10.1</v>
      </c>
      <c r="D79" s="33">
        <v>1</v>
      </c>
      <c r="E79" s="33">
        <v>1</v>
      </c>
      <c r="F79" s="33">
        <v>1</v>
      </c>
      <c r="G79" s="33">
        <v>1</v>
      </c>
      <c r="H79" s="33">
        <v>1.05</v>
      </c>
      <c r="I79" s="33">
        <f t="shared" si="18"/>
        <v>10.605</v>
      </c>
    </row>
    <row r="80" spans="1:9" ht="15">
      <c r="A80" s="33">
        <v>240</v>
      </c>
      <c r="B80" s="33" t="s">
        <v>68</v>
      </c>
      <c r="C80" s="33">
        <v>42.38</v>
      </c>
      <c r="D80" s="33">
        <v>1</v>
      </c>
      <c r="E80" s="33">
        <v>1</v>
      </c>
      <c r="F80" s="33">
        <v>1.25</v>
      </c>
      <c r="G80" s="33">
        <v>1</v>
      </c>
      <c r="H80" s="33">
        <v>1.05</v>
      </c>
      <c r="I80" s="33">
        <f t="shared" si="18"/>
        <v>55.62375</v>
      </c>
    </row>
    <row r="81" spans="1:9" ht="15">
      <c r="A81" s="33">
        <v>242.5</v>
      </c>
      <c r="B81" s="33" t="s">
        <v>66</v>
      </c>
      <c r="C81" s="33">
        <v>10.1</v>
      </c>
      <c r="D81" s="33">
        <v>1</v>
      </c>
      <c r="E81" s="33">
        <v>1</v>
      </c>
      <c r="F81" s="33">
        <v>1.25</v>
      </c>
      <c r="G81" s="33">
        <v>1</v>
      </c>
      <c r="H81" s="33">
        <v>1.05</v>
      </c>
      <c r="I81" s="33">
        <f t="shared" si="18"/>
        <v>13.256250000000001</v>
      </c>
    </row>
    <row r="82" spans="1:9" ht="15">
      <c r="A82" s="33">
        <v>245</v>
      </c>
      <c r="B82" s="33" t="s">
        <v>66</v>
      </c>
      <c r="C82" s="33">
        <v>10.1</v>
      </c>
      <c r="D82" s="33">
        <v>1</v>
      </c>
      <c r="E82" s="33">
        <v>1</v>
      </c>
      <c r="F82" s="33">
        <v>1.25</v>
      </c>
      <c r="G82" s="33">
        <v>1</v>
      </c>
      <c r="H82" s="33">
        <v>1.05</v>
      </c>
      <c r="I82" s="33">
        <f t="shared" si="18"/>
        <v>13.256250000000001</v>
      </c>
    </row>
    <row r="83" spans="1:9" ht="15">
      <c r="A83" s="33">
        <v>247.5</v>
      </c>
      <c r="B83" s="33" t="s">
        <v>66</v>
      </c>
      <c r="C83" s="33">
        <v>10.1</v>
      </c>
      <c r="D83" s="33">
        <v>1</v>
      </c>
      <c r="E83" s="33">
        <v>1</v>
      </c>
      <c r="F83" s="33">
        <v>1.25</v>
      </c>
      <c r="G83" s="33">
        <v>1</v>
      </c>
      <c r="H83" s="33">
        <v>1.05</v>
      </c>
      <c r="I83" s="33">
        <f t="shared" si="18"/>
        <v>13.256250000000001</v>
      </c>
    </row>
    <row r="86" spans="1:6" ht="15">
      <c r="A86" s="92" t="s">
        <v>70</v>
      </c>
      <c r="B86" s="84" t="s">
        <v>71</v>
      </c>
      <c r="C86" s="85"/>
      <c r="D86" s="84" t="s">
        <v>72</v>
      </c>
      <c r="E86" s="85"/>
      <c r="F86" s="24"/>
    </row>
    <row r="87" spans="1:6" ht="15">
      <c r="A87" s="93"/>
      <c r="B87" s="12" t="s">
        <v>73</v>
      </c>
      <c r="C87" s="12" t="s">
        <v>74</v>
      </c>
      <c r="D87" s="12" t="s">
        <v>73</v>
      </c>
      <c r="E87" s="12" t="s">
        <v>74</v>
      </c>
      <c r="F87" s="24"/>
    </row>
    <row r="88" spans="1:6" ht="15">
      <c r="A88" s="12" t="s">
        <v>69</v>
      </c>
      <c r="B88" s="12">
        <v>1</v>
      </c>
      <c r="C88" s="12">
        <f>B88*$B$36</f>
        <v>122</v>
      </c>
      <c r="D88" s="25">
        <f>I76</f>
        <v>1809.15</v>
      </c>
      <c r="E88" s="25">
        <f>D88*$B$36</f>
        <v>220716.30000000002</v>
      </c>
      <c r="F88" s="24"/>
    </row>
    <row r="89" spans="1:6" ht="15">
      <c r="A89" s="12" t="s">
        <v>67</v>
      </c>
      <c r="B89" s="12">
        <v>4</v>
      </c>
      <c r="C89" s="12">
        <f>B89*$B$36</f>
        <v>488</v>
      </c>
      <c r="D89" s="25">
        <f>I66+I70+I74+I80</f>
        <v>173.71725</v>
      </c>
      <c r="E89" s="25">
        <f>D89*$B$36</f>
        <v>21193.5045</v>
      </c>
      <c r="F89" s="24"/>
    </row>
    <row r="90" spans="1:6" ht="15">
      <c r="A90" s="12" t="s">
        <v>66</v>
      </c>
      <c r="B90" s="12">
        <v>15</v>
      </c>
      <c r="C90" s="12">
        <f>B90*$B$36</f>
        <v>1830</v>
      </c>
      <c r="D90" s="25">
        <f>I64+I65+I67+I68+I69+I71+I72+I73+I75+I77+I78+I79+I81+I82+I83</f>
        <v>180.285</v>
      </c>
      <c r="E90" s="25">
        <f>D90*$B$36</f>
        <v>21994.77</v>
      </c>
      <c r="F90" s="24"/>
    </row>
    <row r="91" spans="1:6" ht="15">
      <c r="A91" s="16"/>
      <c r="B91" s="16"/>
      <c r="C91" s="16"/>
      <c r="D91" s="16"/>
      <c r="E91" s="16"/>
      <c r="F91" s="16"/>
    </row>
    <row r="92" spans="1:6" ht="15">
      <c r="A92" s="94" t="s">
        <v>57</v>
      </c>
      <c r="B92" s="79" t="s">
        <v>75</v>
      </c>
      <c r="C92" s="79" t="s">
        <v>76</v>
      </c>
      <c r="D92" s="79" t="s">
        <v>77</v>
      </c>
      <c r="E92" s="96" t="s">
        <v>78</v>
      </c>
      <c r="F92" s="79" t="s">
        <v>79</v>
      </c>
    </row>
    <row r="93" spans="1:6" ht="15">
      <c r="A93" s="95"/>
      <c r="B93" s="79"/>
      <c r="C93" s="79"/>
      <c r="D93" s="79"/>
      <c r="E93" s="96"/>
      <c r="F93" s="79"/>
    </row>
    <row r="94" spans="1:6" ht="15">
      <c r="A94" s="12" t="s">
        <v>69</v>
      </c>
      <c r="B94" s="12">
        <f>1*B36</f>
        <v>122</v>
      </c>
      <c r="C94" s="12">
        <v>8</v>
      </c>
      <c r="D94" s="12">
        <f>B94*C94*8</f>
        <v>7808</v>
      </c>
      <c r="E94" s="26">
        <f>B94*C94*24</f>
        <v>23424</v>
      </c>
      <c r="F94" s="25">
        <f>B94*C94*B33</f>
        <v>12128.486353432669</v>
      </c>
    </row>
    <row r="95" spans="1:6" ht="15">
      <c r="A95" s="12" t="s">
        <v>67</v>
      </c>
      <c r="B95" s="12">
        <f>4*B36</f>
        <v>488</v>
      </c>
      <c r="C95" s="12">
        <v>1</v>
      </c>
      <c r="D95" s="12">
        <f>B95*C95*8</f>
        <v>3904</v>
      </c>
      <c r="E95" s="26">
        <f>B95*C95*24</f>
        <v>11712</v>
      </c>
      <c r="F95" s="25">
        <f>B95*C95*B33</f>
        <v>6064.243176716334</v>
      </c>
    </row>
    <row r="96" spans="1:6" ht="15">
      <c r="A96" s="12" t="s">
        <v>66</v>
      </c>
      <c r="B96" s="12">
        <f>15*B36</f>
        <v>1830</v>
      </c>
      <c r="C96" s="12">
        <v>2</v>
      </c>
      <c r="D96" s="12">
        <f>B96*C96</f>
        <v>3660</v>
      </c>
      <c r="E96" s="26">
        <f>B96*2</f>
        <v>3660</v>
      </c>
      <c r="F96" s="25">
        <f>B96*C96</f>
        <v>3660</v>
      </c>
    </row>
    <row r="97" spans="1:6" ht="15">
      <c r="A97" s="24"/>
      <c r="B97" s="24"/>
      <c r="C97" s="24"/>
      <c r="D97" s="24"/>
      <c r="E97" s="24"/>
      <c r="F97" s="25">
        <f>SUM(F94:F96)</f>
        <v>21852.729530149</v>
      </c>
    </row>
    <row r="101" spans="2:9" ht="15">
      <c r="B101" t="s">
        <v>81</v>
      </c>
      <c r="C101" s="35">
        <f>F94/(8*254)</f>
        <v>5.96874328416962</v>
      </c>
      <c r="E101" t="s">
        <v>84</v>
      </c>
      <c r="F101" s="35">
        <f>254*(C101-5)</f>
        <v>246.06079417908353</v>
      </c>
      <c r="H101" t="s">
        <v>85</v>
      </c>
      <c r="I101" s="35">
        <f>254*(6-C101)</f>
        <v>7.939205820916472</v>
      </c>
    </row>
    <row r="102" spans="2:9" ht="15">
      <c r="B102" t="s">
        <v>82</v>
      </c>
      <c r="C102" s="35">
        <f>F95/(24*254)</f>
        <v>0.9947905473616034</v>
      </c>
      <c r="E102" t="s">
        <v>84</v>
      </c>
      <c r="F102" s="35">
        <f>254*(C102-0)</f>
        <v>252.67679902984727</v>
      </c>
      <c r="H102" t="s">
        <v>85</v>
      </c>
      <c r="I102" s="35">
        <f>254*(1-C102)</f>
        <v>1.3232009701527265</v>
      </c>
    </row>
    <row r="103" spans="2:9" ht="15">
      <c r="B103" t="s">
        <v>83</v>
      </c>
      <c r="C103" s="35">
        <f>F96/(8*254)</f>
        <v>1.8011811023622046</v>
      </c>
      <c r="E103" t="s">
        <v>84</v>
      </c>
      <c r="F103" s="35">
        <f>254*(C103-1)</f>
        <v>203.49999999999997</v>
      </c>
      <c r="H103" t="s">
        <v>85</v>
      </c>
      <c r="I103" s="35">
        <f>254*(2-C103)</f>
        <v>50.50000000000002</v>
      </c>
    </row>
    <row r="106" spans="1:6" ht="15">
      <c r="A106" s="74" t="s">
        <v>57</v>
      </c>
      <c r="B106" s="76" t="s">
        <v>86</v>
      </c>
      <c r="C106" s="77" t="s">
        <v>87</v>
      </c>
      <c r="D106" s="77"/>
      <c r="E106" s="76" t="s">
        <v>88</v>
      </c>
      <c r="F106" s="76"/>
    </row>
    <row r="107" spans="1:6" ht="15">
      <c r="A107" s="74"/>
      <c r="B107" s="76"/>
      <c r="C107" s="39" t="s">
        <v>89</v>
      </c>
      <c r="D107" s="39" t="s">
        <v>90</v>
      </c>
      <c r="E107" s="39" t="s">
        <v>89</v>
      </c>
      <c r="F107" s="39" t="s">
        <v>90</v>
      </c>
    </row>
    <row r="108" spans="1:6" ht="15.75">
      <c r="A108" s="37" t="s">
        <v>69</v>
      </c>
      <c r="B108" s="40">
        <v>122</v>
      </c>
      <c r="C108" s="40">
        <v>5</v>
      </c>
      <c r="D108" s="40">
        <v>6</v>
      </c>
      <c r="E108" s="38">
        <f>ROUNDUP(F101,0)</f>
        <v>247</v>
      </c>
      <c r="F108" s="38">
        <f>ROUNDUP(I101,0)</f>
        <v>8</v>
      </c>
    </row>
    <row r="109" spans="1:6" ht="15.75">
      <c r="A109" s="37" t="s">
        <v>67</v>
      </c>
      <c r="B109" s="40">
        <v>488</v>
      </c>
      <c r="C109" s="40">
        <v>0</v>
      </c>
      <c r="D109" s="40">
        <v>1</v>
      </c>
      <c r="E109" s="38">
        <f>ROUNDUP(F102,0)</f>
        <v>253</v>
      </c>
      <c r="F109" s="38">
        <f>ROUNDUP(I102,0)</f>
        <v>2</v>
      </c>
    </row>
    <row r="110" spans="1:6" ht="15.75">
      <c r="A110" s="37" t="s">
        <v>91</v>
      </c>
      <c r="B110" s="40">
        <v>1830</v>
      </c>
      <c r="C110" s="40">
        <v>1</v>
      </c>
      <c r="D110" s="40">
        <v>2</v>
      </c>
      <c r="E110" s="38">
        <f>ROUNDUP(F103,0)</f>
        <v>204</v>
      </c>
      <c r="F110" s="38">
        <f>ROUNDUP(I103,0)</f>
        <v>51</v>
      </c>
    </row>
    <row r="114" spans="2:4" ht="15.75">
      <c r="B114" s="41" t="s">
        <v>92</v>
      </c>
      <c r="C114">
        <f>D108+D109+D110</f>
        <v>9</v>
      </c>
      <c r="D114" t="s">
        <v>206</v>
      </c>
    </row>
    <row r="115" spans="2:4" ht="15.75">
      <c r="B115" s="41" t="s">
        <v>93</v>
      </c>
      <c r="C115">
        <f>ROUNDUP(1.1*B14+C114,0)</f>
        <v>116</v>
      </c>
      <c r="D115" t="s">
        <v>206</v>
      </c>
    </row>
    <row r="116" spans="2:5" ht="15.75">
      <c r="B116" s="41" t="s">
        <v>94</v>
      </c>
      <c r="C116" s="35">
        <f>B14/C115</f>
        <v>0.8362068965517241</v>
      </c>
      <c r="D116" s="42" t="s">
        <v>99</v>
      </c>
      <c r="E116" s="35">
        <f>(B14*254+D14*112)/(365*C115)</f>
        <v>0.7695657006307483</v>
      </c>
    </row>
    <row r="117" spans="2:4" ht="15.75">
      <c r="B117" s="41" t="s">
        <v>95</v>
      </c>
      <c r="C117" s="43">
        <f>365*C115*E116</f>
        <v>32583.41176470588</v>
      </c>
      <c r="D117" t="s">
        <v>206</v>
      </c>
    </row>
    <row r="118" spans="2:4" ht="15.75">
      <c r="B118" s="41" t="s">
        <v>96</v>
      </c>
      <c r="C118" s="35">
        <f>2.25*C115</f>
        <v>261</v>
      </c>
      <c r="D118" t="s">
        <v>206</v>
      </c>
    </row>
    <row r="119" spans="2:4" ht="15.75">
      <c r="B119" s="42" t="s">
        <v>97</v>
      </c>
      <c r="C119">
        <f>ROUNDUP(C118/8,0)</f>
        <v>33</v>
      </c>
      <c r="D119" t="s">
        <v>206</v>
      </c>
    </row>
    <row r="120" spans="2:4" ht="15.75">
      <c r="B120" s="41" t="s">
        <v>98</v>
      </c>
      <c r="C120">
        <f>ROUNDUP(C119/8,0)</f>
        <v>5</v>
      </c>
      <c r="D120" t="s">
        <v>206</v>
      </c>
    </row>
    <row r="123" spans="1:16" ht="15.75">
      <c r="A123" s="71" t="s">
        <v>100</v>
      </c>
      <c r="B123" s="71"/>
      <c r="C123" s="75">
        <v>1</v>
      </c>
      <c r="D123" s="75"/>
      <c r="E123" s="75">
        <v>2</v>
      </c>
      <c r="F123" s="75"/>
      <c r="G123" s="75">
        <v>3</v>
      </c>
      <c r="H123" s="75"/>
      <c r="I123" s="75">
        <v>4</v>
      </c>
      <c r="J123" s="75"/>
      <c r="K123" s="75">
        <v>5</v>
      </c>
      <c r="L123" s="75"/>
      <c r="M123" s="75">
        <v>6</v>
      </c>
      <c r="N123" s="75"/>
      <c r="O123" s="75">
        <v>7</v>
      </c>
      <c r="P123" s="75"/>
    </row>
    <row r="124" spans="1:16" ht="15.75">
      <c r="A124" s="71" t="s">
        <v>101</v>
      </c>
      <c r="B124" s="71"/>
      <c r="C124" s="44">
        <v>0.3333333333333333</v>
      </c>
      <c r="D124" s="44">
        <v>0.7916666666666666</v>
      </c>
      <c r="E124" s="44">
        <v>0.3333333333333333</v>
      </c>
      <c r="F124" s="44">
        <v>0.7916666666666666</v>
      </c>
      <c r="G124" s="44">
        <v>0.3333333333333333</v>
      </c>
      <c r="H124" s="44">
        <v>0.7916666666666666</v>
      </c>
      <c r="I124" s="44">
        <v>0.3333333333333333</v>
      </c>
      <c r="J124" s="44">
        <v>0.7916666666666666</v>
      </c>
      <c r="K124" s="44">
        <v>0.3333333333333333</v>
      </c>
      <c r="L124" s="44">
        <v>0.7916666666666666</v>
      </c>
      <c r="M124" s="44">
        <v>0.3333333333333333</v>
      </c>
      <c r="N124" s="44">
        <v>0.7916666666666666</v>
      </c>
      <c r="O124" s="44">
        <v>0.3333333333333333</v>
      </c>
      <c r="P124" s="44">
        <v>0.7916666666666666</v>
      </c>
    </row>
    <row r="125" spans="1:16" ht="15.75">
      <c r="A125" s="74" t="s">
        <v>102</v>
      </c>
      <c r="B125" s="45">
        <v>1</v>
      </c>
      <c r="C125" s="36" t="s">
        <v>103</v>
      </c>
      <c r="D125" s="36"/>
      <c r="E125" s="36"/>
      <c r="F125" s="36" t="s">
        <v>104</v>
      </c>
      <c r="G125" s="36"/>
      <c r="H125" s="36"/>
      <c r="I125" s="36"/>
      <c r="J125" s="36" t="s">
        <v>104</v>
      </c>
      <c r="K125" s="36"/>
      <c r="L125" s="36"/>
      <c r="M125" s="36"/>
      <c r="N125" s="36" t="s">
        <v>104</v>
      </c>
      <c r="O125" s="36"/>
      <c r="P125" s="36"/>
    </row>
    <row r="126" spans="1:16" ht="15.75">
      <c r="A126" s="74"/>
      <c r="B126" s="45">
        <v>2</v>
      </c>
      <c r="C126" s="36"/>
      <c r="D126" s="36"/>
      <c r="E126" s="36" t="s">
        <v>103</v>
      </c>
      <c r="F126" s="36"/>
      <c r="G126" s="36"/>
      <c r="H126" s="36" t="s">
        <v>104</v>
      </c>
      <c r="I126" s="36"/>
      <c r="J126" s="36"/>
      <c r="K126" s="36"/>
      <c r="L126" s="36" t="s">
        <v>104</v>
      </c>
      <c r="M126" s="36"/>
      <c r="N126" s="36"/>
      <c r="O126" s="36"/>
      <c r="P126" s="36" t="s">
        <v>104</v>
      </c>
    </row>
    <row r="127" spans="1:16" ht="15.75">
      <c r="A127" s="74"/>
      <c r="B127" s="45">
        <v>3</v>
      </c>
      <c r="C127" s="36"/>
      <c r="D127" s="36" t="s">
        <v>104</v>
      </c>
      <c r="E127" s="36"/>
      <c r="F127" s="36"/>
      <c r="G127" s="36" t="s">
        <v>103</v>
      </c>
      <c r="H127" s="36"/>
      <c r="I127" s="36"/>
      <c r="J127" s="36" t="s">
        <v>104</v>
      </c>
      <c r="K127" s="36"/>
      <c r="L127" s="36"/>
      <c r="M127" s="36"/>
      <c r="N127" s="36" t="s">
        <v>104</v>
      </c>
      <c r="O127" s="36" t="s">
        <v>103</v>
      </c>
      <c r="P127" s="36"/>
    </row>
    <row r="128" spans="1:16" ht="15.75">
      <c r="A128" s="74"/>
      <c r="B128" s="45">
        <v>4</v>
      </c>
      <c r="C128" s="36"/>
      <c r="D128" s="36" t="s">
        <v>104</v>
      </c>
      <c r="E128" s="36"/>
      <c r="F128" s="36"/>
      <c r="G128" s="36"/>
      <c r="H128" s="36" t="s">
        <v>104</v>
      </c>
      <c r="I128" s="36"/>
      <c r="J128" s="36"/>
      <c r="K128" s="36"/>
      <c r="L128" s="36"/>
      <c r="M128" s="36" t="s">
        <v>103</v>
      </c>
      <c r="N128" s="36"/>
      <c r="O128" s="36"/>
      <c r="P128" s="36"/>
    </row>
    <row r="129" spans="1:16" ht="15.75">
      <c r="A129" s="74"/>
      <c r="B129" s="45">
        <v>5</v>
      </c>
      <c r="C129" s="36"/>
      <c r="D129" s="36"/>
      <c r="E129" s="36"/>
      <c r="F129" s="36" t="s">
        <v>104</v>
      </c>
      <c r="G129" s="36"/>
      <c r="H129" s="36"/>
      <c r="I129" s="36" t="s">
        <v>103</v>
      </c>
      <c r="J129" s="36"/>
      <c r="K129" s="46" t="s">
        <v>103</v>
      </c>
      <c r="L129" s="46"/>
      <c r="M129" s="46"/>
      <c r="N129" s="36"/>
      <c r="O129" s="36"/>
      <c r="P129" s="36" t="s">
        <v>104</v>
      </c>
    </row>
    <row r="133" spans="1:3" ht="15.75">
      <c r="A133" s="37" t="s">
        <v>105</v>
      </c>
      <c r="B133" s="19">
        <f>C115*E116*1.7</f>
        <v>151.75835616438354</v>
      </c>
      <c r="C133" t="s">
        <v>211</v>
      </c>
    </row>
    <row r="134" spans="1:3" ht="15.75">
      <c r="A134" s="37" t="s">
        <v>106</v>
      </c>
      <c r="B134" s="19">
        <f>B133*1.05</f>
        <v>159.34627397260272</v>
      </c>
      <c r="C134" t="s">
        <v>211</v>
      </c>
    </row>
    <row r="137" spans="1:23" ht="15">
      <c r="A137" s="47">
        <v>5.2</v>
      </c>
      <c r="B137" s="48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1"/>
    </row>
    <row r="140" spans="1:7" ht="15">
      <c r="A140" s="17" t="s">
        <v>110</v>
      </c>
      <c r="B140">
        <f>ROUNDUP((E88/$F$140),0)</f>
        <v>111</v>
      </c>
      <c r="C140" t="s">
        <v>211</v>
      </c>
      <c r="E140" t="s">
        <v>107</v>
      </c>
      <c r="F140" s="35">
        <f>ROUNDUP((254*8+7*7)/1.04,0)</f>
        <v>2001</v>
      </c>
      <c r="G140" t="s">
        <v>205</v>
      </c>
    </row>
    <row r="141" spans="1:3" ht="15.75">
      <c r="A141" s="37" t="s">
        <v>108</v>
      </c>
      <c r="B141">
        <f>ROUNDUP((E89/$F$140),0)</f>
        <v>11</v>
      </c>
      <c r="C141" t="s">
        <v>211</v>
      </c>
    </row>
    <row r="142" spans="1:3" ht="15.75">
      <c r="A142" s="37" t="s">
        <v>109</v>
      </c>
      <c r="B142">
        <f>ROUNDUP((E90/$F$140),0)</f>
        <v>11</v>
      </c>
      <c r="C142" t="s">
        <v>211</v>
      </c>
    </row>
    <row r="144" spans="1:7" ht="15">
      <c r="A144" t="s">
        <v>111</v>
      </c>
      <c r="B144">
        <f>3*8</f>
        <v>24</v>
      </c>
      <c r="C144" t="s">
        <v>205</v>
      </c>
      <c r="E144" t="s">
        <v>112</v>
      </c>
      <c r="F144">
        <f>ROUNDUP(((B140+B141+B142)*0.25),0)</f>
        <v>34</v>
      </c>
      <c r="G144" t="s">
        <v>205</v>
      </c>
    </row>
    <row r="147" spans="1:29" ht="15">
      <c r="A147" s="72">
        <v>6.1</v>
      </c>
      <c r="B147" s="73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1"/>
    </row>
    <row r="150" spans="1:6" ht="15.75">
      <c r="A150" s="17" t="s">
        <v>113</v>
      </c>
      <c r="B150" s="17">
        <f>ROUNDDOWN((540/40),0)</f>
        <v>13</v>
      </c>
      <c r="C150" t="s">
        <v>212</v>
      </c>
      <c r="D150" s="37" t="s">
        <v>114</v>
      </c>
      <c r="E150" s="17">
        <f>ROUNDUP((E151/B150),0)</f>
        <v>7</v>
      </c>
      <c r="F150" s="69" t="s">
        <v>212</v>
      </c>
    </row>
    <row r="151" spans="4:6" ht="15.75">
      <c r="D151" s="37" t="s">
        <v>115</v>
      </c>
      <c r="E151" s="17">
        <f>ROUNDUP((C115*E116),0)</f>
        <v>90</v>
      </c>
      <c r="F151" t="s">
        <v>212</v>
      </c>
    </row>
    <row r="153" spans="1:3" ht="15">
      <c r="A153" s="17" t="s">
        <v>116</v>
      </c>
      <c r="B153" s="17">
        <f>ROUNDUP((E151*0.02*120)/480,0)</f>
        <v>1</v>
      </c>
      <c r="C153" t="s">
        <v>212</v>
      </c>
    </row>
    <row r="155" spans="1:6" ht="15.75">
      <c r="A155" s="17" t="s">
        <v>117</v>
      </c>
      <c r="B155" s="17">
        <f>2*E155+2*E156+2*E157+E160*E158+(E160-1)*E159</f>
        <v>83.48</v>
      </c>
      <c r="C155" s="17" t="s">
        <v>126</v>
      </c>
      <c r="D155" s="36" t="s">
        <v>118</v>
      </c>
      <c r="E155" s="36">
        <v>2</v>
      </c>
      <c r="F155" s="69" t="s">
        <v>126</v>
      </c>
    </row>
    <row r="156" spans="1:6" ht="15.75">
      <c r="A156" s="37" t="s">
        <v>125</v>
      </c>
      <c r="B156" s="17">
        <f>2*E155+6*E156+6*E157+E160*E158+(E160-3)*E159+2*E161</f>
        <v>96.48</v>
      </c>
      <c r="C156" s="17" t="s">
        <v>126</v>
      </c>
      <c r="D156" s="36" t="s">
        <v>119</v>
      </c>
      <c r="E156" s="36">
        <v>1.25</v>
      </c>
      <c r="F156" t="s">
        <v>126</v>
      </c>
    </row>
    <row r="157" spans="4:6" ht="15.75">
      <c r="D157" s="36" t="s">
        <v>120</v>
      </c>
      <c r="E157" s="36">
        <v>0.5</v>
      </c>
      <c r="F157" t="s">
        <v>126</v>
      </c>
    </row>
    <row r="158" spans="4:6" ht="15.75">
      <c r="D158" s="36" t="s">
        <v>121</v>
      </c>
      <c r="E158" s="36">
        <v>11.83</v>
      </c>
      <c r="F158" t="s">
        <v>213</v>
      </c>
    </row>
    <row r="159" spans="4:6" ht="15.75">
      <c r="D159" s="36" t="s">
        <v>122</v>
      </c>
      <c r="E159" s="36">
        <v>1</v>
      </c>
      <c r="F159" t="s">
        <v>126</v>
      </c>
    </row>
    <row r="160" spans="4:6" ht="15.75">
      <c r="D160" s="36" t="s">
        <v>123</v>
      </c>
      <c r="E160" s="36">
        <v>6</v>
      </c>
      <c r="F160" t="s">
        <v>206</v>
      </c>
    </row>
    <row r="161" spans="4:6" ht="15.75">
      <c r="D161" s="46" t="s">
        <v>124</v>
      </c>
      <c r="E161" s="46">
        <v>4</v>
      </c>
      <c r="F161" t="s">
        <v>126</v>
      </c>
    </row>
    <row r="164" spans="1:22" ht="15">
      <c r="A164" s="72">
        <v>6.2</v>
      </c>
      <c r="B164" s="73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1"/>
    </row>
    <row r="167" spans="1:7" ht="15.75">
      <c r="A167" s="36" t="s">
        <v>127</v>
      </c>
      <c r="B167">
        <f>ROUNDUP(E167*C88/B37,0)</f>
        <v>2</v>
      </c>
      <c r="C167" t="s">
        <v>206</v>
      </c>
      <c r="D167" s="36" t="s">
        <v>129</v>
      </c>
      <c r="E167">
        <v>3</v>
      </c>
      <c r="F167" t="s">
        <v>207</v>
      </c>
      <c r="G167" s="17"/>
    </row>
    <row r="168" spans="1:4" ht="15.75">
      <c r="A168" s="36" t="s">
        <v>128</v>
      </c>
      <c r="B168">
        <f>ROUNDUP((8-E167)*B94/B37,0)</f>
        <v>3</v>
      </c>
      <c r="C168" t="s">
        <v>206</v>
      </c>
      <c r="D168" s="52"/>
    </row>
    <row r="171" spans="1:22" ht="15">
      <c r="A171" s="72">
        <v>6.3</v>
      </c>
      <c r="B171" s="73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1"/>
    </row>
    <row r="173" spans="1:5" ht="15.75">
      <c r="A173" s="71" t="s">
        <v>130</v>
      </c>
      <c r="B173" s="71" t="s">
        <v>131</v>
      </c>
      <c r="C173" s="71" t="s">
        <v>132</v>
      </c>
      <c r="D173" s="71"/>
      <c r="E173" s="71" t="s">
        <v>133</v>
      </c>
    </row>
    <row r="174" spans="1:5" ht="15.75">
      <c r="A174" s="71"/>
      <c r="B174" s="71"/>
      <c r="C174" s="36" t="s">
        <v>134</v>
      </c>
      <c r="D174" s="36" t="s">
        <v>135</v>
      </c>
      <c r="E174" s="71"/>
    </row>
    <row r="175" spans="1:5" ht="15.75">
      <c r="A175" s="37" t="s">
        <v>136</v>
      </c>
      <c r="B175" s="36">
        <v>12</v>
      </c>
      <c r="C175" s="37">
        <v>25</v>
      </c>
      <c r="D175" s="37">
        <v>10</v>
      </c>
      <c r="E175" s="37">
        <f>C175+D175*(B175-1)</f>
        <v>135</v>
      </c>
    </row>
    <row r="176" spans="1:5" ht="15.75">
      <c r="A176" s="37" t="s">
        <v>137</v>
      </c>
      <c r="B176" s="36">
        <v>13</v>
      </c>
      <c r="C176" s="37">
        <v>20</v>
      </c>
      <c r="D176" s="37">
        <v>10</v>
      </c>
      <c r="E176" s="37">
        <f aca="true" t="shared" si="19" ref="E176:E184">C176+D176*(B176-1)</f>
        <v>140</v>
      </c>
    </row>
    <row r="177" spans="1:5" ht="15.75">
      <c r="A177" s="37" t="s">
        <v>138</v>
      </c>
      <c r="B177" s="36">
        <v>8</v>
      </c>
      <c r="C177" s="37">
        <v>30</v>
      </c>
      <c r="D177" s="37">
        <v>15</v>
      </c>
      <c r="E177" s="37">
        <f t="shared" si="19"/>
        <v>135</v>
      </c>
    </row>
    <row r="178" spans="1:5" ht="15.75">
      <c r="A178" s="37" t="s">
        <v>139</v>
      </c>
      <c r="B178" s="36">
        <v>5</v>
      </c>
      <c r="C178" s="37">
        <v>15</v>
      </c>
      <c r="D178" s="37">
        <v>10</v>
      </c>
      <c r="E178" s="37">
        <f t="shared" si="19"/>
        <v>55</v>
      </c>
    </row>
    <row r="179" spans="1:5" ht="15.75">
      <c r="A179" s="37" t="s">
        <v>140</v>
      </c>
      <c r="B179" s="36">
        <v>6</v>
      </c>
      <c r="C179" s="37">
        <v>20</v>
      </c>
      <c r="D179" s="37">
        <v>10</v>
      </c>
      <c r="E179" s="37">
        <f t="shared" si="19"/>
        <v>70</v>
      </c>
    </row>
    <row r="180" spans="1:5" ht="15.75">
      <c r="A180" s="37" t="s">
        <v>141</v>
      </c>
      <c r="B180" s="36">
        <v>7</v>
      </c>
      <c r="C180" s="37">
        <v>20</v>
      </c>
      <c r="D180" s="37">
        <v>10</v>
      </c>
      <c r="E180" s="37">
        <f t="shared" si="19"/>
        <v>80</v>
      </c>
    </row>
    <row r="181" spans="1:5" ht="15.75">
      <c r="A181" s="37" t="s">
        <v>142</v>
      </c>
      <c r="B181" s="36">
        <v>41</v>
      </c>
      <c r="C181" s="37">
        <v>20</v>
      </c>
      <c r="D181" s="37">
        <v>8</v>
      </c>
      <c r="E181" s="37">
        <f t="shared" si="19"/>
        <v>340</v>
      </c>
    </row>
    <row r="182" spans="1:5" ht="15.75">
      <c r="A182" s="37" t="s">
        <v>143</v>
      </c>
      <c r="B182" s="36">
        <v>28</v>
      </c>
      <c r="C182" s="37">
        <v>25</v>
      </c>
      <c r="D182" s="37">
        <v>10</v>
      </c>
      <c r="E182" s="37">
        <f t="shared" si="19"/>
        <v>295</v>
      </c>
    </row>
    <row r="183" spans="1:5" ht="15.75">
      <c r="A183" s="37" t="s">
        <v>144</v>
      </c>
      <c r="B183" s="36">
        <v>6</v>
      </c>
      <c r="C183" s="37">
        <v>25</v>
      </c>
      <c r="D183" s="37">
        <v>12</v>
      </c>
      <c r="E183" s="37">
        <f t="shared" si="19"/>
        <v>85</v>
      </c>
    </row>
    <row r="184" spans="1:5" ht="15.75">
      <c r="A184" s="37" t="s">
        <v>145</v>
      </c>
      <c r="B184" s="36">
        <v>7</v>
      </c>
      <c r="C184" s="37">
        <v>25</v>
      </c>
      <c r="D184" s="37">
        <v>10</v>
      </c>
      <c r="E184" s="37">
        <f t="shared" si="19"/>
        <v>85</v>
      </c>
    </row>
    <row r="188" spans="1:29" ht="15">
      <c r="A188" s="49">
        <v>7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1"/>
    </row>
    <row r="190" ht="15">
      <c r="E190" s="55"/>
    </row>
    <row r="191" spans="1:7" ht="15.75">
      <c r="A191" s="53" t="s">
        <v>146</v>
      </c>
      <c r="B191" s="58">
        <f>F191*C115</f>
        <v>6.96</v>
      </c>
      <c r="C191" t="s">
        <v>215</v>
      </c>
      <c r="E191" s="53" t="s">
        <v>147</v>
      </c>
      <c r="F191" s="53">
        <f>0.06</f>
        <v>0.06</v>
      </c>
      <c r="G191" t="s">
        <v>215</v>
      </c>
    </row>
    <row r="192" spans="1:7" ht="15.75">
      <c r="A192" s="53" t="s">
        <v>148</v>
      </c>
      <c r="B192" s="56">
        <f>B191/F192</f>
        <v>1.392</v>
      </c>
      <c r="C192" s="17">
        <v>3</v>
      </c>
      <c r="D192" t="s">
        <v>206</v>
      </c>
      <c r="E192" s="56" t="s">
        <v>149</v>
      </c>
      <c r="F192" s="56">
        <v>5</v>
      </c>
      <c r="G192" t="s">
        <v>217</v>
      </c>
    </row>
    <row r="193" spans="1:7" ht="15.75">
      <c r="A193" s="53" t="s">
        <v>150</v>
      </c>
      <c r="B193" s="56">
        <f>C192*F193</f>
        <v>36</v>
      </c>
      <c r="C193" s="55" t="s">
        <v>200</v>
      </c>
      <c r="D193" s="55"/>
      <c r="E193" s="56" t="s">
        <v>151</v>
      </c>
      <c r="F193" s="56">
        <v>12</v>
      </c>
      <c r="G193" s="55" t="s">
        <v>200</v>
      </c>
    </row>
    <row r="194" spans="1:7" ht="15.75">
      <c r="A194" s="53" t="s">
        <v>152</v>
      </c>
      <c r="B194" s="56">
        <f>C115*F194</f>
        <v>290</v>
      </c>
      <c r="C194" s="55" t="s">
        <v>216</v>
      </c>
      <c r="D194" s="55"/>
      <c r="E194" s="56" t="s">
        <v>153</v>
      </c>
      <c r="F194" s="56">
        <v>2.5</v>
      </c>
      <c r="G194" s="55" t="s">
        <v>216</v>
      </c>
    </row>
    <row r="195" spans="1:7" ht="15.75">
      <c r="A195" s="53" t="s">
        <v>154</v>
      </c>
      <c r="B195" s="56">
        <f>B194/F195</f>
        <v>1.16</v>
      </c>
      <c r="C195" s="56">
        <v>3</v>
      </c>
      <c r="D195" s="55" t="s">
        <v>206</v>
      </c>
      <c r="E195" s="56" t="s">
        <v>158</v>
      </c>
      <c r="F195" s="56">
        <v>250</v>
      </c>
      <c r="G195" s="55" t="s">
        <v>218</v>
      </c>
    </row>
    <row r="196" spans="1:7" ht="15.75">
      <c r="A196" s="53" t="s">
        <v>155</v>
      </c>
      <c r="B196" s="56">
        <f>C195*F196</f>
        <v>108</v>
      </c>
      <c r="C196" s="55" t="s">
        <v>200</v>
      </c>
      <c r="D196" s="55"/>
      <c r="E196" s="56" t="s">
        <v>157</v>
      </c>
      <c r="F196" s="56">
        <v>36</v>
      </c>
      <c r="G196" s="55" t="s">
        <v>200</v>
      </c>
    </row>
    <row r="197" spans="1:7" ht="15.75">
      <c r="A197" s="53" t="s">
        <v>156</v>
      </c>
      <c r="B197" s="56">
        <f>C115*F197</f>
        <v>29</v>
      </c>
      <c r="C197" s="55" t="s">
        <v>214</v>
      </c>
      <c r="D197" s="55"/>
      <c r="E197" s="56" t="s">
        <v>159</v>
      </c>
      <c r="F197" s="56">
        <v>0.25</v>
      </c>
      <c r="G197" t="s">
        <v>219</v>
      </c>
    </row>
    <row r="198" spans="1:6" ht="15">
      <c r="A198" s="55"/>
      <c r="B198" s="55"/>
      <c r="C198" s="55"/>
      <c r="D198" s="55"/>
      <c r="E198" s="55"/>
      <c r="F198" s="55"/>
    </row>
    <row r="199" spans="1:29" ht="15">
      <c r="A199" s="56">
        <v>7.4</v>
      </c>
      <c r="B199" s="59"/>
      <c r="C199" s="59"/>
      <c r="D199" s="59"/>
      <c r="E199" s="59"/>
      <c r="F199" s="59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1"/>
    </row>
    <row r="200" spans="1:6" ht="15">
      <c r="A200" s="55"/>
      <c r="B200" s="55"/>
      <c r="C200" s="55"/>
      <c r="D200" s="55"/>
      <c r="E200" s="55"/>
      <c r="F200" s="55"/>
    </row>
    <row r="201" spans="3:6" ht="15">
      <c r="C201" s="55"/>
      <c r="D201" s="55"/>
      <c r="E201" s="55"/>
      <c r="F201" s="55"/>
    </row>
    <row r="202" spans="1:6" ht="15.75">
      <c r="A202" s="53" t="s">
        <v>161</v>
      </c>
      <c r="B202" s="56">
        <f>C115*E202</f>
        <v>116</v>
      </c>
      <c r="C202" s="55" t="s">
        <v>200</v>
      </c>
      <c r="D202" s="53" t="s">
        <v>160</v>
      </c>
      <c r="E202" s="56">
        <v>1</v>
      </c>
      <c r="F202" t="s">
        <v>219</v>
      </c>
    </row>
    <row r="203" ht="15">
      <c r="F203" s="55"/>
    </row>
    <row r="204" spans="1:29" ht="15">
      <c r="A204" s="56">
        <v>7.5</v>
      </c>
      <c r="B204" s="50"/>
      <c r="C204" s="50"/>
      <c r="D204" s="50"/>
      <c r="E204" s="50"/>
      <c r="F204" s="59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1"/>
    </row>
    <row r="205" ht="15">
      <c r="F205" s="55"/>
    </row>
    <row r="206" ht="15">
      <c r="F206" s="55"/>
    </row>
    <row r="207" spans="1:6" ht="15.75">
      <c r="A207" s="53" t="s">
        <v>162</v>
      </c>
      <c r="B207" s="56">
        <f>E207*E208+E209</f>
        <v>185</v>
      </c>
      <c r="C207" s="55" t="s">
        <v>200</v>
      </c>
      <c r="D207" s="53" t="s">
        <v>163</v>
      </c>
      <c r="E207" s="56">
        <v>3</v>
      </c>
      <c r="F207" s="55" t="s">
        <v>206</v>
      </c>
    </row>
    <row r="208" spans="2:6" ht="15.75">
      <c r="B208" s="55"/>
      <c r="C208" s="55"/>
      <c r="D208" s="53" t="s">
        <v>164</v>
      </c>
      <c r="E208" s="56">
        <v>45</v>
      </c>
      <c r="F208" s="55" t="s">
        <v>200</v>
      </c>
    </row>
    <row r="209" spans="2:6" ht="15.75">
      <c r="B209" s="55"/>
      <c r="C209" s="55"/>
      <c r="D209" s="53" t="s">
        <v>165</v>
      </c>
      <c r="E209" s="56">
        <v>50</v>
      </c>
      <c r="F209" s="55" t="s">
        <v>200</v>
      </c>
    </row>
    <row r="210" spans="1:6" ht="15">
      <c r="A210" s="55"/>
      <c r="B210" s="55"/>
      <c r="C210" s="55"/>
      <c r="D210" s="55"/>
      <c r="F210" s="55"/>
    </row>
    <row r="211" spans="1:29" ht="15">
      <c r="A211" s="56">
        <v>7.6</v>
      </c>
      <c r="B211" s="59"/>
      <c r="C211" s="59"/>
      <c r="D211" s="59"/>
      <c r="E211" s="50"/>
      <c r="F211" s="59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1"/>
    </row>
    <row r="212" spans="1:4" ht="15">
      <c r="A212" s="55"/>
      <c r="B212" s="55"/>
      <c r="C212" s="55"/>
      <c r="D212" s="55"/>
    </row>
    <row r="213" spans="1:6" ht="15.75">
      <c r="A213" s="53" t="s">
        <v>166</v>
      </c>
      <c r="B213" s="56">
        <f>C115*E213</f>
        <v>58</v>
      </c>
      <c r="C213" s="55" t="s">
        <v>200</v>
      </c>
      <c r="D213" s="53" t="s">
        <v>167</v>
      </c>
      <c r="E213" s="56">
        <v>0.5</v>
      </c>
      <c r="F213" t="s">
        <v>219</v>
      </c>
    </row>
    <row r="214" spans="1:4" ht="15">
      <c r="A214" s="55"/>
      <c r="B214" s="55"/>
      <c r="C214" s="55"/>
      <c r="D214" s="55"/>
    </row>
    <row r="215" spans="1:4" ht="15">
      <c r="A215" s="54"/>
      <c r="C215" s="55"/>
      <c r="D215" s="55"/>
    </row>
    <row r="216" spans="1:29" ht="15">
      <c r="A216" s="56">
        <v>7.7</v>
      </c>
      <c r="B216" s="50"/>
      <c r="C216" s="59"/>
      <c r="D216" s="59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1"/>
    </row>
    <row r="217" spans="1:4" ht="15">
      <c r="A217" s="54"/>
      <c r="C217" s="55"/>
      <c r="D217" s="55"/>
    </row>
    <row r="218" spans="1:6" ht="15.75">
      <c r="A218" s="36" t="s">
        <v>168</v>
      </c>
      <c r="B218" s="60">
        <f>E218*C115*B59</f>
        <v>39892517.05096235</v>
      </c>
      <c r="C218" s="55" t="s">
        <v>209</v>
      </c>
      <c r="D218" s="56" t="s">
        <v>80</v>
      </c>
      <c r="E218" s="56">
        <v>6</v>
      </c>
      <c r="F218" s="70" t="s">
        <v>206</v>
      </c>
    </row>
    <row r="219" spans="1:6" ht="15.75">
      <c r="A219" s="53" t="s">
        <v>169</v>
      </c>
      <c r="B219" s="56">
        <f>CEILING(B218/(12*E219),1)</f>
        <v>36</v>
      </c>
      <c r="C219" s="55" t="s">
        <v>206</v>
      </c>
      <c r="D219" s="56" t="s">
        <v>170</v>
      </c>
      <c r="E219" s="56">
        <v>93000</v>
      </c>
      <c r="F219" s="55" t="s">
        <v>209</v>
      </c>
    </row>
    <row r="220" spans="1:3" ht="15.75">
      <c r="A220" s="53" t="s">
        <v>171</v>
      </c>
      <c r="B220" s="56">
        <f>2*B219</f>
        <v>72</v>
      </c>
      <c r="C220" s="55" t="s">
        <v>206</v>
      </c>
    </row>
    <row r="221" spans="1:6" ht="15.75">
      <c r="A221" s="53" t="s">
        <v>172</v>
      </c>
      <c r="B221" s="56">
        <f>B220/E221</f>
        <v>3.6</v>
      </c>
      <c r="C221" s="55" t="s">
        <v>206</v>
      </c>
      <c r="D221" s="56" t="s">
        <v>173</v>
      </c>
      <c r="E221" s="56">
        <v>20</v>
      </c>
      <c r="F221" s="70" t="s">
        <v>220</v>
      </c>
    </row>
    <row r="222" spans="1:6" ht="15.75">
      <c r="A222" s="53" t="s">
        <v>174</v>
      </c>
      <c r="B222" s="56">
        <f>B220/E222</f>
        <v>4.8</v>
      </c>
      <c r="C222" s="55" t="s">
        <v>206</v>
      </c>
      <c r="D222" s="53" t="s">
        <v>175</v>
      </c>
      <c r="E222" s="53">
        <v>15</v>
      </c>
      <c r="F222" s="70" t="s">
        <v>220</v>
      </c>
    </row>
    <row r="223" spans="1:3" ht="15.75">
      <c r="A223" s="36" t="s">
        <v>161</v>
      </c>
      <c r="B223" s="56">
        <f>B221*B224+B222*B225</f>
        <v>15.600000000000001</v>
      </c>
      <c r="C223" s="55" t="s">
        <v>200</v>
      </c>
    </row>
    <row r="224" spans="1:3" ht="15.75">
      <c r="A224" s="36" t="s">
        <v>176</v>
      </c>
      <c r="B224" s="56">
        <v>3</v>
      </c>
      <c r="C224" t="s">
        <v>219</v>
      </c>
    </row>
    <row r="225" spans="1:3" ht="15.75">
      <c r="A225" s="36" t="s">
        <v>151</v>
      </c>
      <c r="B225" s="56">
        <v>1</v>
      </c>
      <c r="C225" t="s">
        <v>219</v>
      </c>
    </row>
    <row r="226" ht="15">
      <c r="A226" s="54"/>
    </row>
    <row r="227" ht="15">
      <c r="A227" s="54"/>
    </row>
    <row r="228" spans="1:29" ht="15">
      <c r="A228" s="57">
        <v>7.9</v>
      </c>
      <c r="B228" s="50"/>
      <c r="C228" s="50">
        <v>24</v>
      </c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1"/>
    </row>
    <row r="229" ht="15">
      <c r="A229" s="54"/>
    </row>
    <row r="230" spans="1:29" ht="15">
      <c r="A230" s="57">
        <v>8.1</v>
      </c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1"/>
    </row>
    <row r="232" spans="1:6" ht="15.75">
      <c r="A232" s="53" t="s">
        <v>177</v>
      </c>
      <c r="B232" s="56">
        <f>E232+0.25*E233</f>
        <v>18</v>
      </c>
      <c r="C232" s="55" t="s">
        <v>206</v>
      </c>
      <c r="D232" s="53" t="s">
        <v>178</v>
      </c>
      <c r="E232" s="56">
        <v>16</v>
      </c>
      <c r="F232" s="70" t="s">
        <v>221</v>
      </c>
    </row>
    <row r="233" spans="1:6" ht="15.75">
      <c r="A233" s="55"/>
      <c r="B233" s="55"/>
      <c r="C233" s="55"/>
      <c r="D233" s="53" t="s">
        <v>179</v>
      </c>
      <c r="E233" s="56">
        <v>8</v>
      </c>
      <c r="F233" s="70" t="s">
        <v>221</v>
      </c>
    </row>
    <row r="234" spans="1:6" ht="15.75">
      <c r="A234" s="53" t="s">
        <v>180</v>
      </c>
      <c r="B234" s="56">
        <f>B232*E234</f>
        <v>18</v>
      </c>
      <c r="C234" s="55" t="s">
        <v>200</v>
      </c>
      <c r="D234" s="53" t="s">
        <v>181</v>
      </c>
      <c r="E234" s="56">
        <v>1</v>
      </c>
      <c r="F234" s="55" t="s">
        <v>200</v>
      </c>
    </row>
    <row r="237" spans="1:29" ht="15">
      <c r="A237" s="17">
        <v>8.2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1"/>
    </row>
    <row r="239" spans="1:6" ht="15.75">
      <c r="A239" s="53" t="s">
        <v>182</v>
      </c>
      <c r="B239" s="56">
        <f>0.7*$E$240*$E$239</f>
        <v>44.449999999999996</v>
      </c>
      <c r="C239" s="55" t="s">
        <v>200</v>
      </c>
      <c r="D239" s="53" t="s">
        <v>184</v>
      </c>
      <c r="E239" s="57">
        <v>127</v>
      </c>
      <c r="F239" s="70" t="s">
        <v>221</v>
      </c>
    </row>
    <row r="240" spans="1:6" ht="15.75">
      <c r="A240" s="53" t="s">
        <v>183</v>
      </c>
      <c r="B240" s="56">
        <f>0.3*$E$240*$E$239</f>
        <v>19.05</v>
      </c>
      <c r="C240" s="55" t="s">
        <v>200</v>
      </c>
      <c r="D240" s="53" t="s">
        <v>185</v>
      </c>
      <c r="E240" s="57">
        <v>0.5</v>
      </c>
      <c r="F240" s="55" t="s">
        <v>200</v>
      </c>
    </row>
    <row r="243" spans="1:29" ht="15">
      <c r="A243" s="17">
        <v>8.3</v>
      </c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1"/>
    </row>
    <row r="245" spans="1:6" ht="15.75">
      <c r="A245" s="53" t="s">
        <v>187</v>
      </c>
      <c r="B245" s="19">
        <f>(0.7*$E$245*$E$239)/7</f>
        <v>50.8</v>
      </c>
      <c r="C245" s="55" t="s">
        <v>200</v>
      </c>
      <c r="D245" s="36" t="s">
        <v>188</v>
      </c>
      <c r="E245" s="17">
        <v>4</v>
      </c>
      <c r="F245" s="55" t="s">
        <v>200</v>
      </c>
    </row>
    <row r="246" spans="1:3" ht="15.75">
      <c r="A246" s="53" t="s">
        <v>186</v>
      </c>
      <c r="B246" s="19">
        <f>(0.3*$E$245*$E$239)/7</f>
        <v>21.771428571428572</v>
      </c>
      <c r="C246" s="55" t="s">
        <v>200</v>
      </c>
    </row>
    <row r="249" spans="1:29" ht="15">
      <c r="A249" s="17">
        <v>8.4</v>
      </c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1"/>
    </row>
    <row r="251" spans="1:6" ht="15.75">
      <c r="A251" s="53" t="s">
        <v>189</v>
      </c>
      <c r="B251" s="19">
        <f>(0.7*$E$251*$E$239)/10</f>
        <v>22.225</v>
      </c>
      <c r="C251" s="55" t="s">
        <v>200</v>
      </c>
      <c r="D251" s="53" t="s">
        <v>191</v>
      </c>
      <c r="E251" s="56">
        <v>2.5</v>
      </c>
      <c r="F251" s="55" t="s">
        <v>200</v>
      </c>
    </row>
    <row r="252" spans="1:3" ht="15.75">
      <c r="A252" s="53" t="s">
        <v>190</v>
      </c>
      <c r="B252" s="19">
        <f>(0.3*$E$251*$E$239)/10</f>
        <v>9.525</v>
      </c>
      <c r="C252" s="55" t="s">
        <v>200</v>
      </c>
    </row>
    <row r="254" spans="1:29" ht="15">
      <c r="A254" s="17">
        <v>8.5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1"/>
    </row>
    <row r="256" spans="1:6" ht="15.75">
      <c r="A256" s="53" t="s">
        <v>192</v>
      </c>
      <c r="B256" s="61">
        <f>(0.7*$E$256*($E$239+$B$183))/18</f>
        <v>23.275</v>
      </c>
      <c r="C256" s="55" t="s">
        <v>200</v>
      </c>
      <c r="D256" s="53" t="s">
        <v>194</v>
      </c>
      <c r="E256" s="56">
        <v>4.5</v>
      </c>
      <c r="F256" s="55" t="s">
        <v>200</v>
      </c>
    </row>
    <row r="257" spans="1:3" ht="15.75">
      <c r="A257" s="53" t="s">
        <v>193</v>
      </c>
      <c r="B257" s="61">
        <f>(0.3*$E$256*($E$239+$B$183))/12</f>
        <v>14.962499999999999</v>
      </c>
      <c r="C257" s="55" t="s">
        <v>200</v>
      </c>
    </row>
    <row r="259" spans="1:29" ht="15">
      <c r="A259" s="17">
        <v>8.6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1"/>
    </row>
    <row r="261" spans="1:6" ht="15.75">
      <c r="A261" s="53" t="s">
        <v>195</v>
      </c>
      <c r="B261" s="17">
        <f>E261*(E239+B183)</f>
        <v>33.25</v>
      </c>
      <c r="C261" s="55" t="s">
        <v>200</v>
      </c>
      <c r="D261" s="36" t="s">
        <v>196</v>
      </c>
      <c r="E261" s="49">
        <v>0.25</v>
      </c>
      <c r="F261" s="55" t="s">
        <v>200</v>
      </c>
    </row>
    <row r="263" spans="1:29" ht="15">
      <c r="A263" s="17">
        <v>8.7</v>
      </c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1"/>
    </row>
    <row r="265" spans="1:6" ht="15.75">
      <c r="A265" s="53" t="s">
        <v>197</v>
      </c>
      <c r="B265" s="62">
        <f>E265*B133</f>
        <v>37.939589041095886</v>
      </c>
      <c r="C265" s="55" t="s">
        <v>200</v>
      </c>
      <c r="D265" s="53" t="s">
        <v>198</v>
      </c>
      <c r="E265" s="56">
        <v>0.25</v>
      </c>
      <c r="F265" s="55" t="s">
        <v>200</v>
      </c>
    </row>
    <row r="267" spans="1:29" ht="15">
      <c r="A267" s="17">
        <v>8.8</v>
      </c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1"/>
    </row>
    <row r="269" spans="1:3" ht="15.75">
      <c r="A269" s="37" t="s">
        <v>199</v>
      </c>
      <c r="B269" s="37">
        <v>4.5</v>
      </c>
      <c r="C269" t="s">
        <v>200</v>
      </c>
    </row>
  </sheetData>
  <sheetProtection/>
  <mergeCells count="91">
    <mergeCell ref="A86:A87"/>
    <mergeCell ref="B86:C86"/>
    <mergeCell ref="D86:E86"/>
    <mergeCell ref="F92:F93"/>
    <mergeCell ref="A92:A93"/>
    <mergeCell ref="B92:B93"/>
    <mergeCell ref="C92:C93"/>
    <mergeCell ref="D92:D93"/>
    <mergeCell ref="E92:E93"/>
    <mergeCell ref="A62:A63"/>
    <mergeCell ref="B62:B63"/>
    <mergeCell ref="C62:C63"/>
    <mergeCell ref="I62:I63"/>
    <mergeCell ref="D62:H62"/>
    <mergeCell ref="A28:B28"/>
    <mergeCell ref="E28:F28"/>
    <mergeCell ref="I28:J28"/>
    <mergeCell ref="M28:N28"/>
    <mergeCell ref="A41:A42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Q28:T28"/>
    <mergeCell ref="V12:W12"/>
    <mergeCell ref="I18:J18"/>
    <mergeCell ref="A18:B18"/>
    <mergeCell ref="E17:H17"/>
    <mergeCell ref="I17:L17"/>
    <mergeCell ref="M17:P17"/>
    <mergeCell ref="S18:T18"/>
    <mergeCell ref="Q17:V17"/>
    <mergeCell ref="Q18:R18"/>
    <mergeCell ref="U18:V18"/>
    <mergeCell ref="C18:D18"/>
    <mergeCell ref="E18:F18"/>
    <mergeCell ref="G18:H18"/>
    <mergeCell ref="K18:L18"/>
    <mergeCell ref="M18:N18"/>
    <mergeCell ref="O18:P18"/>
    <mergeCell ref="A12:G12"/>
    <mergeCell ref="R12:S12"/>
    <mergeCell ref="N12:O12"/>
    <mergeCell ref="R2:S2"/>
    <mergeCell ref="A17:D17"/>
    <mergeCell ref="A1:B1"/>
    <mergeCell ref="C1:C2"/>
    <mergeCell ref="D1:D2"/>
    <mergeCell ref="J12:K12"/>
    <mergeCell ref="E1:E2"/>
    <mergeCell ref="F2:G2"/>
    <mergeCell ref="H2:I2"/>
    <mergeCell ref="F1:I1"/>
    <mergeCell ref="V1:Y1"/>
    <mergeCell ref="V2:W2"/>
    <mergeCell ref="X2:Y2"/>
    <mergeCell ref="L2:M2"/>
    <mergeCell ref="J1:M1"/>
    <mergeCell ref="T2:U2"/>
    <mergeCell ref="R1:U1"/>
    <mergeCell ref="N2:O2"/>
    <mergeCell ref="J2:K2"/>
    <mergeCell ref="P2:Q2"/>
    <mergeCell ref="N1:Q1"/>
    <mergeCell ref="K123:L123"/>
    <mergeCell ref="M123:N123"/>
    <mergeCell ref="O123:P123"/>
    <mergeCell ref="A106:A107"/>
    <mergeCell ref="B106:B107"/>
    <mergeCell ref="C106:D106"/>
    <mergeCell ref="E106:F106"/>
    <mergeCell ref="A123:B123"/>
    <mergeCell ref="C123:D123"/>
    <mergeCell ref="E123:F123"/>
    <mergeCell ref="A124:B124"/>
    <mergeCell ref="A125:A129"/>
    <mergeCell ref="A147:B147"/>
    <mergeCell ref="G123:H123"/>
    <mergeCell ref="I123:J123"/>
    <mergeCell ref="E173:E174"/>
    <mergeCell ref="A164:B164"/>
    <mergeCell ref="A171:B171"/>
    <mergeCell ref="A173:A174"/>
    <mergeCell ref="B173:B174"/>
    <mergeCell ref="C173:D1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ТёмычЪ</cp:lastModifiedBy>
  <dcterms:created xsi:type="dcterms:W3CDTF">2012-10-15T13:25:55Z</dcterms:created>
  <dcterms:modified xsi:type="dcterms:W3CDTF">2012-11-19T22:05:04Z</dcterms:modified>
  <cp:category/>
  <cp:version/>
  <cp:contentType/>
  <cp:contentStatus/>
</cp:coreProperties>
</file>