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Ih">'Лист1'!$D$2</definedName>
    <definedName name="Uks">'Лист1'!$J$2</definedName>
  </definedNames>
  <calcPr fullCalcOnLoad="1"/>
</workbook>
</file>

<file path=xl/sharedStrings.xml><?xml version="1.0" encoding="utf-8"?>
<sst xmlns="http://schemas.openxmlformats.org/spreadsheetml/2006/main" count="225" uniqueCount="147">
  <si>
    <t>тип</t>
  </si>
  <si>
    <t>марка</t>
  </si>
  <si>
    <t>модель ТЭД</t>
  </si>
  <si>
    <t>Iч,А</t>
  </si>
  <si>
    <t>vmax,км/ч</t>
  </si>
  <si>
    <t>kн</t>
  </si>
  <si>
    <t>μ</t>
  </si>
  <si>
    <t>Dк</t>
  </si>
  <si>
    <t>профиль пути</t>
  </si>
  <si>
    <t>троллейбус</t>
  </si>
  <si>
    <t>v</t>
  </si>
  <si>
    <t>wот</t>
  </si>
  <si>
    <t>wох</t>
  </si>
  <si>
    <t>G,кН</t>
  </si>
  <si>
    <t>Ток, А</t>
  </si>
  <si>
    <t>Частота вращения якоря, об/мин</t>
  </si>
  <si>
    <t>Момент на валу,Нм</t>
  </si>
  <si>
    <t>КПД,%</t>
  </si>
  <si>
    <t>b=1,0</t>
  </si>
  <si>
    <t>b=0,5</t>
  </si>
  <si>
    <t>b=0,31</t>
  </si>
  <si>
    <t>Характеристики, отнесенные к валу двигателя</t>
  </si>
  <si>
    <t>Характеристики, отнесенные к ободу колеса</t>
  </si>
  <si>
    <t>Скорость движения ПС, км/ч</t>
  </si>
  <si>
    <t>Сила тяги ,Н</t>
  </si>
  <si>
    <t>КПД</t>
  </si>
  <si>
    <t>I/Iч,%</t>
  </si>
  <si>
    <r>
      <t>P</t>
    </r>
    <r>
      <rPr>
        <sz val="10"/>
        <rFont val="Arial Cyr"/>
        <family val="0"/>
      </rPr>
      <t>30,%</t>
    </r>
  </si>
  <si>
    <r>
      <t>P</t>
    </r>
    <r>
      <rPr>
        <sz val="10"/>
        <rFont val="Arial Cyr"/>
        <family val="0"/>
      </rPr>
      <t>3,</t>
    </r>
    <r>
      <rPr>
        <sz val="14"/>
        <rFont val="Arial Cyr"/>
        <family val="0"/>
      </rPr>
      <t>Вт</t>
    </r>
  </si>
  <si>
    <t>x</t>
  </si>
  <si>
    <t>y</t>
  </si>
  <si>
    <t>Uks</t>
  </si>
  <si>
    <t>Gсц</t>
  </si>
  <si>
    <t>mв</t>
  </si>
  <si>
    <t>mп</t>
  </si>
  <si>
    <t>Nп</t>
  </si>
  <si>
    <t>g</t>
  </si>
  <si>
    <t>Fпmax сц</t>
  </si>
  <si>
    <t>ψ</t>
  </si>
  <si>
    <t>Iп max сц</t>
  </si>
  <si>
    <t>Iп max к</t>
  </si>
  <si>
    <t>Ki</t>
  </si>
  <si>
    <t>Kз</t>
  </si>
  <si>
    <t>Iпс</t>
  </si>
  <si>
    <t xml:space="preserve">Iп max </t>
  </si>
  <si>
    <t>Fпс</t>
  </si>
  <si>
    <t>Vпс</t>
  </si>
  <si>
    <t xml:space="preserve"> </t>
  </si>
  <si>
    <t>a</t>
  </si>
  <si>
    <t>G</t>
  </si>
  <si>
    <t>АКСМ-20101</t>
  </si>
  <si>
    <t>ДК-213</t>
  </si>
  <si>
    <t>Iп max</t>
  </si>
  <si>
    <t>Iп min</t>
  </si>
  <si>
    <t>4.1 Тяговая хар-ка</t>
  </si>
  <si>
    <t>Fmax</t>
  </si>
  <si>
    <t>Imax</t>
  </si>
  <si>
    <t>п. 4.3</t>
  </si>
  <si>
    <t>Gсцт</t>
  </si>
  <si>
    <t>Gсц.мех</t>
  </si>
  <si>
    <t>Bт.max.сц.эл</t>
  </si>
  <si>
    <t>Bт.max.сц.мех</t>
  </si>
  <si>
    <t>αtmax эл</t>
  </si>
  <si>
    <t xml:space="preserve"> ?Gк</t>
  </si>
  <si>
    <t>αtmax мех</t>
  </si>
  <si>
    <t>?Gk</t>
  </si>
  <si>
    <t>Bтэл</t>
  </si>
  <si>
    <t>Bмех</t>
  </si>
  <si>
    <t>п. 4.4</t>
  </si>
  <si>
    <t>скорость v, км/ч</t>
  </si>
  <si>
    <t>Удельные силы, действующие на троллейбус, Н/кН</t>
  </si>
  <si>
    <t>f</t>
  </si>
  <si>
    <t>wot</t>
  </si>
  <si>
    <t>wox</t>
  </si>
  <si>
    <t>bт сл</t>
  </si>
  <si>
    <t>bт э</t>
  </si>
  <si>
    <t>f0</t>
  </si>
  <si>
    <t>bто сл</t>
  </si>
  <si>
    <t>bто э</t>
  </si>
  <si>
    <t>Профиль 9</t>
  </si>
  <si>
    <t>S,m</t>
  </si>
  <si>
    <r>
      <t xml:space="preserve">I, </t>
    </r>
    <r>
      <rPr>
        <sz val="10"/>
        <rFont val="Calibri"/>
        <family val="2"/>
      </rPr>
      <t>‰</t>
    </r>
  </si>
  <si>
    <t>V</t>
  </si>
  <si>
    <t>F</t>
  </si>
  <si>
    <t>Шаг i</t>
  </si>
  <si>
    <t>vi</t>
  </si>
  <si>
    <t>dv</t>
  </si>
  <si>
    <t>vcp</t>
  </si>
  <si>
    <t>fдср</t>
  </si>
  <si>
    <t>dti</t>
  </si>
  <si>
    <t>ti</t>
  </si>
  <si>
    <r>
      <t>I</t>
    </r>
    <r>
      <rPr>
        <sz val="10"/>
        <rFont val="Calibri"/>
        <family val="2"/>
      </rPr>
      <t>∑</t>
    </r>
    <r>
      <rPr>
        <sz val="10"/>
        <rFont val="Arial Cyr"/>
        <family val="0"/>
      </rPr>
      <t>i</t>
    </r>
  </si>
  <si>
    <t>dSi</t>
  </si>
  <si>
    <t>Si</t>
  </si>
  <si>
    <t>i</t>
  </si>
  <si>
    <t>fдi</t>
  </si>
  <si>
    <t>fdi по усредн-му</t>
  </si>
  <si>
    <t>I  по графику токов</t>
  </si>
  <si>
    <t>dv подбирать по скачкам</t>
  </si>
  <si>
    <t>fД</t>
  </si>
  <si>
    <t>Реж, дв.</t>
  </si>
  <si>
    <t>тяга</t>
  </si>
  <si>
    <t>-//-</t>
  </si>
  <si>
    <t>выбег</t>
  </si>
  <si>
    <t>120/400</t>
  </si>
  <si>
    <t>200/360</t>
  </si>
  <si>
    <t>торм.</t>
  </si>
  <si>
    <t>'-//-</t>
  </si>
  <si>
    <t>Профиль</t>
  </si>
  <si>
    <t>Токи</t>
  </si>
  <si>
    <r>
      <rPr>
        <sz val="10"/>
        <rFont val="Calibri"/>
        <family val="2"/>
      </rPr>
      <t>Δ</t>
    </r>
    <r>
      <rPr>
        <sz val="10"/>
        <rFont val="Arial Cyr"/>
        <family val="0"/>
      </rPr>
      <t>ti</t>
    </r>
  </si>
  <si>
    <t>Uc</t>
  </si>
  <si>
    <t>Wтяга</t>
  </si>
  <si>
    <t>Iн</t>
  </si>
  <si>
    <t>Iк</t>
  </si>
  <si>
    <t>Iср</t>
  </si>
  <si>
    <t>Сумма</t>
  </si>
  <si>
    <t>tx</t>
  </si>
  <si>
    <t>tст</t>
  </si>
  <si>
    <t>Pсн</t>
  </si>
  <si>
    <t>Wсн</t>
  </si>
  <si>
    <t>ηкс</t>
  </si>
  <si>
    <t>ηпс</t>
  </si>
  <si>
    <t>Wпс</t>
  </si>
  <si>
    <t>S</t>
  </si>
  <si>
    <t>w'</t>
  </si>
  <si>
    <t>w''</t>
  </si>
  <si>
    <t>Gп</t>
  </si>
  <si>
    <t>В'т max сц</t>
  </si>
  <si>
    <t>В'т</t>
  </si>
  <si>
    <t>b'т э</t>
  </si>
  <si>
    <t>b'т cл</t>
  </si>
  <si>
    <t>скорость</t>
  </si>
  <si>
    <t>удельные силы</t>
  </si>
  <si>
    <t>b'тсл</t>
  </si>
  <si>
    <t>b'тэ</t>
  </si>
  <si>
    <t>b'тосл</t>
  </si>
  <si>
    <t>b'тоэ</t>
  </si>
  <si>
    <t>Экстренное торможение</t>
  </si>
  <si>
    <t>шаг</t>
  </si>
  <si>
    <t>Δvi</t>
  </si>
  <si>
    <t>Vcрi</t>
  </si>
  <si>
    <t>Δti</t>
  </si>
  <si>
    <t>Δsi</t>
  </si>
  <si>
    <t>-</t>
  </si>
  <si>
    <t>Служебное торможение</t>
  </si>
  <si>
    <t>Vуст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</si>
</sst>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.5"/>
      <color indexed="8"/>
      <name val="Arial Cyr"/>
      <family val="0"/>
    </font>
    <font>
      <sz val="10.55"/>
      <color indexed="8"/>
      <name val="Arial Cyr"/>
      <family val="0"/>
    </font>
    <font>
      <sz val="9.25"/>
      <color indexed="8"/>
      <name val="Arial Cyr"/>
      <family val="0"/>
    </font>
    <font>
      <sz val="8.5"/>
      <color indexed="8"/>
      <name val="Arial Cyr"/>
      <family val="0"/>
    </font>
    <font>
      <sz val="10"/>
      <name val="Calibri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164" fontId="0" fillId="32" borderId="0" xfId="0" applyNumberForma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"/>
          <c:w val="0.82025"/>
          <c:h val="0.93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Лист1!$A$5:$A$19</c:f>
              <c:numCache/>
            </c:numRef>
          </c:xVal>
          <c:yVal>
            <c:numRef>
              <c:f>Лист1!$B$5:$B$19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Лист1!$A$5:$A$19</c:f>
              <c:numCache/>
            </c:numRef>
          </c:xVal>
          <c:yVal>
            <c:numRef>
              <c:f>Лист1!$C$5:$C$19</c:f>
              <c:numCache/>
            </c:numRef>
          </c:yVal>
          <c:smooth val="1"/>
        </c:ser>
        <c:axId val="10625938"/>
        <c:axId val="8405163"/>
      </c:scatterChart>
      <c:valAx>
        <c:axId val="106259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5163"/>
        <c:crosses val="autoZero"/>
        <c:crossBetween val="midCat"/>
        <c:dispUnits/>
        <c:majorUnit val="5"/>
      </c:valAx>
      <c:valAx>
        <c:axId val="8405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5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93"/>
          <c:w val="0.139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5"/>
          <c:w val="0.74425"/>
          <c:h val="0.884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Лист1!$B$224:$B$246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Лист1!$C$224:$C$246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Лист1!$D$224:$D$246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Лист1!$E$224:$E$246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Лист1!$H$224:$H$246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Лист1!$F$224:$F$246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Лист1!$I$224:$I$246</c:f>
              <c:numCache/>
            </c:numRef>
          </c:yVal>
          <c:smooth val="0"/>
        </c:ser>
        <c:ser>
          <c:idx val="0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Лист1!$G$224:$G$246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Лист1!$J$224:$J$246</c:f>
              <c:numCache/>
            </c:numRef>
          </c:yVal>
          <c:smooth val="0"/>
        </c:ser>
        <c:axId val="42814426"/>
        <c:axId val="47600979"/>
      </c:scatterChart>
      <c:valAx>
        <c:axId val="42814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0979"/>
        <c:crosses val="autoZero"/>
        <c:crossBetween val="midCat"/>
        <c:dispUnits/>
      </c:valAx>
      <c:valAx>
        <c:axId val="47600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4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3445"/>
          <c:w val="0.081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4775"/>
          <c:w val="0.8217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Лист1!$G$224:$G$246</c:f>
              <c:numCache/>
            </c:numRef>
          </c:yVal>
          <c:smooth val="0"/>
        </c:ser>
        <c:axId val="61669272"/>
        <c:axId val="23653817"/>
      </c:scatterChart>
      <c:valAx>
        <c:axId val="6166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817"/>
        <c:crosses val="autoZero"/>
        <c:crossBetween val="midCat"/>
        <c:dispUnits/>
      </c:valAx>
      <c:valAx>
        <c:axId val="23653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9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4775"/>
          <c:w val="0.8182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Лист1!$J$224:$J$246</c:f>
              <c:numCache/>
            </c:numRef>
          </c:yVal>
          <c:smooth val="0"/>
        </c:ser>
        <c:axId val="57788806"/>
        <c:axId val="50359439"/>
      </c:scatterChart>
      <c:valAx>
        <c:axId val="5778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9439"/>
        <c:crosses val="autoZero"/>
        <c:crossBetween val="midCat"/>
        <c:dispUnits/>
      </c:valAx>
      <c:valAx>
        <c:axId val="50359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8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"/>
          <c:w val="0.8585"/>
          <c:h val="0.94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Лист1!$D$179:$D$201</c:f>
              <c:numCache/>
            </c:numRef>
          </c:xVal>
          <c:yVal>
            <c:numRef>
              <c:f>Лист1!$C$179:$C$201</c:f>
              <c:numCache/>
            </c:numRef>
          </c:yVal>
          <c:smooth val="0"/>
        </c:ser>
        <c:axId val="51582244"/>
        <c:axId val="39499605"/>
      </c:scatterChart>
      <c:valAx>
        <c:axId val="5158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9605"/>
        <c:crosses val="autoZero"/>
        <c:crossBetween val="midCat"/>
        <c:dispUnits/>
      </c:valAx>
      <c:valAx>
        <c:axId val="39499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2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4175"/>
          <c:w val="0.121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4975"/>
          <c:w val="0.75175"/>
          <c:h val="0.8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Лист1!$G$224:$G$246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Лист1!$B$224:$B$246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Лист1!$C$224:$C$246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Лист1!$D$224:$D$246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Лист1!$E$224:$E$246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Лист1!$H$224:$H$246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Лист1!$F$224:$F$246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Лист1!$I$224:$I$246</c:f>
              <c:numCache/>
            </c:numRef>
          </c:yVal>
          <c:smooth val="0"/>
        </c:ser>
        <c:axId val="32651762"/>
        <c:axId val="60043147"/>
      </c:scatterChart>
      <c:valAx>
        <c:axId val="32651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43147"/>
        <c:crosses val="autoZero"/>
        <c:crossBetween val="midCat"/>
        <c:dispUnits/>
      </c:valAx>
      <c:valAx>
        <c:axId val="60043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1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25"/>
          <c:w val="0.0947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975"/>
          <c:w val="0.8295"/>
          <c:h val="0.90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Лист1!$D$331:$D$343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Лист1!$E$331:$E$343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Лист1!$F$331:$F$343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Лист1!$G$331:$G$343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Лист1!$H$331:$H$343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Лист1!$L$289:$L$324</c:f>
              <c:numCache/>
            </c:numRef>
          </c:xVal>
          <c:yVal>
            <c:numRef>
              <c:f>Лист1!$C$289:$C$324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Лист1!$L$289:$L$324</c:f>
              <c:numCache/>
            </c:numRef>
          </c:xVal>
          <c:yVal>
            <c:numRef>
              <c:f>Лист1!$I$289:$I$324</c:f>
              <c:numCache/>
            </c:numRef>
          </c:yVal>
          <c:smooth val="0"/>
        </c:ser>
        <c:axId val="17587056"/>
        <c:axId val="53220017"/>
      </c:scatterChart>
      <c:scatterChart>
        <c:scatterStyle val="lineMarker"/>
        <c:varyColors val="0"/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Лист1!$K$331:$K$350</c:f>
              <c:numCache/>
            </c:numRef>
          </c:xVal>
          <c:yVal>
            <c:numRef>
              <c:f>Лист1!$J$331:$J$350</c:f>
              <c:numCache/>
            </c:numRef>
          </c:yVal>
          <c:smooth val="0"/>
        </c:ser>
        <c:axId val="46090526"/>
        <c:axId val="60807751"/>
      </c:scatterChart>
      <c:valAx>
        <c:axId val="17587056"/>
        <c:scaling>
          <c:orientation val="minMax"/>
          <c:max val="95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20017"/>
        <c:crosses val="autoZero"/>
        <c:crossBetween val="midCat"/>
        <c:dispUnits/>
      </c:valAx>
      <c:valAx>
        <c:axId val="53220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056"/>
        <c:crosses val="autoZero"/>
        <c:crossBetween val="midCat"/>
        <c:dispUnits/>
      </c:valAx>
      <c:valAx>
        <c:axId val="4609052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7751"/>
        <c:crosses val="max"/>
        <c:crossBetween val="midCat"/>
        <c:dispUnits/>
      </c:valAx>
      <c:valAx>
        <c:axId val="60807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05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291"/>
          <c:w val="0.084"/>
          <c:h val="0.3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925"/>
          <c:w val="0.818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v>Служебное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Лист1!$I$442:$I$450</c:f>
              <c:numCache/>
            </c:numRef>
          </c:xVal>
          <c:yVal>
            <c:numRef>
              <c:f>Лист1!$B$442:$B$450</c:f>
              <c:numCache/>
            </c:numRef>
          </c:yVal>
          <c:smooth val="0"/>
        </c:ser>
        <c:ser>
          <c:idx val="1"/>
          <c:order val="1"/>
          <c:tx>
            <c:v>Экстренное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Лист1!$I$454:$I$462</c:f>
              <c:numCache/>
            </c:numRef>
          </c:xVal>
          <c:yVal>
            <c:numRef>
              <c:f>Лист1!$B$454:$B$462</c:f>
              <c:numCache/>
            </c:numRef>
          </c:yVal>
          <c:smooth val="0"/>
        </c:ser>
        <c:axId val="51994236"/>
        <c:axId val="58039245"/>
      </c:scatterChart>
      <c:valAx>
        <c:axId val="5199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9245"/>
        <c:crosses val="autoZero"/>
        <c:crossBetween val="midCat"/>
        <c:dispUnits/>
      </c:valAx>
      <c:valAx>
        <c:axId val="58039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4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441"/>
          <c:w val="0.1272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7"/>
          <c:w val="0.8275"/>
          <c:h val="0.886"/>
        </c:manualLayout>
      </c:layout>
      <c:scatterChart>
        <c:scatterStyle val="smoothMarker"/>
        <c:varyColors val="0"/>
        <c:ser>
          <c:idx val="0"/>
          <c:order val="0"/>
          <c:tx>
            <c:v>n1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Лист1!$B$31:$B$39</c:f>
              <c:numCache/>
            </c:numRef>
          </c:yVal>
          <c:smooth val="1"/>
        </c:ser>
        <c:ser>
          <c:idx val="1"/>
          <c:order val="1"/>
          <c:tx>
            <c:v>n2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Лист1!$C$31:$C$39</c:f>
              <c:numCache/>
            </c:numRef>
          </c:yVal>
          <c:smooth val="1"/>
        </c:ser>
        <c:ser>
          <c:idx val="3"/>
          <c:order val="2"/>
          <c:tx>
            <c:v>n3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Лист1!$D$32:$D$39</c:f>
              <c:numCache/>
            </c:numRef>
          </c:yVal>
          <c:smooth val="1"/>
        </c:ser>
        <c:ser>
          <c:idx val="2"/>
          <c:order val="3"/>
          <c:tx>
            <c:v>M1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Лист1!$E$31:$E$39</c:f>
              <c:numCache/>
            </c:numRef>
          </c:yVal>
          <c:smooth val="1"/>
        </c:ser>
        <c:ser>
          <c:idx val="4"/>
          <c:order val="4"/>
          <c:tx>
            <c:v>M2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Лист1!$F$31:$F$39</c:f>
              <c:numCache/>
            </c:numRef>
          </c:yVal>
          <c:smooth val="1"/>
        </c:ser>
        <c:ser>
          <c:idx val="5"/>
          <c:order val="5"/>
          <c:tx>
            <c:v>M3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Лист1!$G$31:$G$39</c:f>
              <c:numCache/>
            </c:numRef>
          </c:yVal>
          <c:smooth val="1"/>
        </c:ser>
        <c:axId val="42688016"/>
        <c:axId val="41912529"/>
      </c:scatterChart>
      <c:scatterChart>
        <c:scatterStyle val="smoothMarker"/>
        <c:varyColors val="0"/>
        <c:ser>
          <c:idx val="6"/>
          <c:order val="6"/>
          <c:tx>
            <c:v>кпд1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Лист1!$H$31:$H$39</c:f>
              <c:numCache/>
            </c:numRef>
          </c:yVal>
          <c:smooth val="1"/>
        </c:ser>
        <c:ser>
          <c:idx val="7"/>
          <c:order val="7"/>
          <c:tx>
            <c:v>кпд2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Лист1!$I$31:$I$39</c:f>
              <c:numCache/>
            </c:numRef>
          </c:yVal>
          <c:smooth val="1"/>
        </c:ser>
        <c:ser>
          <c:idx val="8"/>
          <c:order val="8"/>
          <c:tx>
            <c:v>кпд3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Лист1!$J$31:$J$39</c:f>
              <c:numCache/>
            </c:numRef>
          </c:yVal>
          <c:smooth val="1"/>
        </c:ser>
        <c:axId val="7015614"/>
        <c:axId val="47267175"/>
      </c:scatterChart>
      <c:valAx>
        <c:axId val="42688016"/>
        <c:scaling>
          <c:orientation val="minMax"/>
          <c:max val="50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2529"/>
        <c:crosses val="autoZero"/>
        <c:crossBetween val="midCat"/>
        <c:dispUnits/>
        <c:majorUnit val="100"/>
      </c:valAx>
      <c:valAx>
        <c:axId val="4191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8016"/>
        <c:crosses val="autoZero"/>
        <c:crossBetween val="midCat"/>
        <c:dispUnits/>
      </c:valAx>
      <c:valAx>
        <c:axId val="701561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7175"/>
        <c:crosses val="max"/>
        <c:crossBetween val="midCat"/>
        <c:dispUnits/>
      </c:valAx>
      <c:valAx>
        <c:axId val="47267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56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5925"/>
          <c:w val="0.103"/>
          <c:h val="0.5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4"/>
          <c:w val="0.83525"/>
          <c:h val="0.93225"/>
        </c:manualLayout>
      </c:layout>
      <c:scatterChart>
        <c:scatterStyle val="smoothMarker"/>
        <c:varyColors val="0"/>
        <c:ser>
          <c:idx val="3"/>
          <c:order val="3"/>
          <c:tx>
            <c:v>F1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Лист1!$E$73:$E$81</c:f>
              <c:numCache/>
            </c:numRef>
          </c:yVal>
          <c:smooth val="1"/>
        </c:ser>
        <c:ser>
          <c:idx val="4"/>
          <c:order val="4"/>
          <c:tx>
            <c:v>F2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Лист1!$F$73:$F$81</c:f>
              <c:numCache/>
            </c:numRef>
          </c:yVal>
          <c:smooth val="1"/>
        </c:ser>
        <c:ser>
          <c:idx val="5"/>
          <c:order val="5"/>
          <c:tx>
            <c:v>F3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Лист1!$G$73:$G$81</c:f>
              <c:numCache/>
            </c:numRef>
          </c:yVal>
          <c:smooth val="1"/>
        </c:ser>
        <c:axId val="46648092"/>
        <c:axId val="18789357"/>
      </c:scatterChart>
      <c:scatterChart>
        <c:scatterStyle val="lineMarker"/>
        <c:varyColors val="0"/>
        <c:ser>
          <c:idx val="0"/>
          <c:order val="0"/>
          <c:tx>
            <c:v>v1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Лист1!$B$73:$B$81</c:f>
              <c:numCache/>
            </c:numRef>
          </c:yVal>
          <c:smooth val="0"/>
        </c:ser>
        <c:ser>
          <c:idx val="1"/>
          <c:order val="1"/>
          <c:tx>
            <c:v>v2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Лист1!$C$73:$C$81</c:f>
              <c:numCache/>
            </c:numRef>
          </c:yVal>
          <c:smooth val="0"/>
        </c:ser>
        <c:ser>
          <c:idx val="2"/>
          <c:order val="2"/>
          <c:tx>
            <c:v>v3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Лист1!$D$73:$D$81</c:f>
              <c:numCache/>
            </c:numRef>
          </c:yVal>
          <c:smooth val="0"/>
        </c:ser>
        <c:axId val="40214698"/>
        <c:axId val="64830947"/>
      </c:scatterChart>
      <c:valAx>
        <c:axId val="46648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9357"/>
        <c:crosses val="autoZero"/>
        <c:crossBetween val="midCat"/>
        <c:dispUnits/>
      </c:valAx>
      <c:valAx>
        <c:axId val="18789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48092"/>
        <c:crosses val="autoZero"/>
        <c:crossBetween val="midCat"/>
        <c:dispUnits/>
      </c:valAx>
      <c:valAx>
        <c:axId val="40214698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0947"/>
        <c:crosses val="max"/>
        <c:crossBetween val="midCat"/>
        <c:dispUnits/>
      </c:valAx>
      <c:valAx>
        <c:axId val="64830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146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25175"/>
          <c:w val="0.1145"/>
          <c:h val="0.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"/>
          <c:w val="0.806"/>
          <c:h val="0.93225"/>
        </c:manualLayout>
      </c:layout>
      <c:scatterChart>
        <c:scatterStyle val="smoothMarker"/>
        <c:varyColors val="0"/>
        <c:ser>
          <c:idx val="0"/>
          <c:order val="0"/>
          <c:tx>
            <c:v>кпд1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Лист1!$H$73:$H$81</c:f>
              <c:numCache/>
            </c:numRef>
          </c:yVal>
          <c:smooth val="1"/>
        </c:ser>
        <c:ser>
          <c:idx val="1"/>
          <c:order val="1"/>
          <c:tx>
            <c:v>кпд2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Лист1!$I$73:$I$81</c:f>
              <c:numCache/>
            </c:numRef>
          </c:yVal>
          <c:smooth val="1"/>
        </c:ser>
        <c:ser>
          <c:idx val="2"/>
          <c:order val="2"/>
          <c:tx>
            <c:v>кпд3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Лист1!$J$73:$J$81</c:f>
              <c:numCache/>
            </c:numRef>
          </c:yVal>
          <c:smooth val="1"/>
        </c:ser>
        <c:axId val="31711464"/>
        <c:axId val="17729737"/>
      </c:scatterChart>
      <c:valAx>
        <c:axId val="3171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29737"/>
        <c:crosses val="autoZero"/>
        <c:crossBetween val="midCat"/>
        <c:dispUnits/>
      </c:valAx>
      <c:valAx>
        <c:axId val="17729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1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5525"/>
          <c:w val="0.1377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3"/>
          <c:w val="0.80425"/>
          <c:h val="0.9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Лист1!$M$73:$M$81</c:f>
              <c:numCache/>
            </c:numRef>
          </c:xVal>
          <c:yVal>
            <c:numRef>
              <c:f>Лист1!$P$73:$P$81</c:f>
              <c:numCache/>
            </c:numRef>
          </c:yVal>
          <c:smooth val="1"/>
        </c:ser>
        <c:axId val="59640662"/>
        <c:axId val="66584095"/>
      </c:scatterChart>
      <c:valAx>
        <c:axId val="5964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4095"/>
        <c:crosses val="autoZero"/>
        <c:crossBetween val="midCat"/>
        <c:dispUnits/>
      </c:valAx>
      <c:valAx>
        <c:axId val="66584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0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2425"/>
          <c:w val="0.147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"/>
          <c:w val="0.869"/>
          <c:h val="0.94"/>
        </c:manualLayout>
      </c:layout>
      <c:scatterChart>
        <c:scatterStyle val="lineMarker"/>
        <c:varyColors val="0"/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Лист1!$D$152:$D$174</c:f>
              <c:numCache/>
            </c:numRef>
          </c:xVal>
          <c:yVal>
            <c:numRef>
              <c:f>Лист1!$E$152:$E$174</c:f>
              <c:numCache/>
            </c:numRef>
          </c:yVal>
          <c:smooth val="0"/>
        </c:ser>
        <c:axId val="43494260"/>
        <c:axId val="11084645"/>
      </c:scatte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Лист1!$B$73:$B$81</c:f>
              <c:numCache/>
            </c:numRef>
          </c:xVal>
          <c:yVal>
            <c:numRef>
              <c:f>Лист1!$E$73:$E$81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Лист1!$C$73:$C$81</c:f>
              <c:numCache/>
            </c:numRef>
          </c:xVal>
          <c:yVal>
            <c:numRef>
              <c:f>Лист1!$F$73:$F$81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Лист1!$D$73:$D$81</c:f>
              <c:numCache/>
            </c:numRef>
          </c:xVal>
          <c:yVal>
            <c:numRef>
              <c:f>Лист1!$G$73:$G$81</c:f>
              <c:numCache/>
            </c:numRef>
          </c:yVal>
          <c:smooth val="0"/>
        </c:ser>
        <c:axId val="29046978"/>
        <c:axId val="32045595"/>
      </c:scatterChart>
      <c:valAx>
        <c:axId val="43494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4645"/>
        <c:crosses val="autoZero"/>
        <c:crossBetween val="midCat"/>
        <c:dispUnits/>
      </c:valAx>
      <c:valAx>
        <c:axId val="11084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4260"/>
        <c:crosses val="autoZero"/>
        <c:crossBetween val="midCat"/>
        <c:dispUnits/>
      </c:valAx>
      <c:valAx>
        <c:axId val="2904697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45595"/>
        <c:crosses val="max"/>
        <c:crossBetween val="midCat"/>
        <c:dispUnits/>
      </c:valAx>
      <c:valAx>
        <c:axId val="32045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469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2525"/>
          <c:w val="0.097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25"/>
          <c:w val="0.82275"/>
          <c:h val="0.93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Лист1!$D$152:$D$174</c:f>
              <c:numCache/>
            </c:numRef>
          </c:xVal>
          <c:yVal>
            <c:numRef>
              <c:f>Лист1!$C$152:$C$174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Лист1!$D$152:$D$174</c:f>
              <c:numCache/>
            </c:numRef>
          </c:xVal>
          <c:yVal>
            <c:numRef>
              <c:f>Лист1!$E$152:$E$174</c:f>
              <c:numCache/>
            </c:numRef>
          </c:yVal>
          <c:smooth val="0"/>
        </c:ser>
        <c:axId val="32765632"/>
        <c:axId val="65167297"/>
      </c:scatterChart>
      <c:valAx>
        <c:axId val="32765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297"/>
        <c:crosses val="autoZero"/>
        <c:crossBetween val="midCat"/>
        <c:dispUnits/>
      </c:valAx>
      <c:valAx>
        <c:axId val="65167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5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11"/>
          <c:w val="0.1287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75"/>
          <c:w val="0.863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Лист1!$D$179:$D$201</c:f>
              <c:numCache/>
            </c:numRef>
          </c:xVal>
          <c:yVal>
            <c:numRef>
              <c:f>Лист1!$C$179:$C$201</c:f>
              <c:numCache/>
            </c:numRef>
          </c:yVal>
          <c:smooth val="0"/>
        </c:ser>
        <c:axId val="46847214"/>
        <c:axId val="27749847"/>
      </c:scatterChart>
      <c:valAx>
        <c:axId val="46847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9847"/>
        <c:crosses val="autoZero"/>
        <c:crossBetween val="midCat"/>
        <c:dispUnits/>
      </c:valAx>
      <c:valAx>
        <c:axId val="2774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451"/>
          <c:w val="0.10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25"/>
          <c:w val="0.753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Ряд1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Лист1!$B$73:$B$81</c:f>
              <c:numCache/>
            </c:numRef>
          </c:xVal>
          <c:yVal>
            <c:numRef>
              <c:f>Лист1!$A$73:$A$81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Лист1!$C$73:$C$81</c:f>
              <c:numCache/>
            </c:numRef>
          </c:xVal>
          <c:yVal>
            <c:numRef>
              <c:f>Лист1!$A$73:$A$81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Лист1!$D$73:$D$81</c:f>
              <c:numCache/>
            </c:numRef>
          </c:xVal>
          <c:yVal>
            <c:numRef>
              <c:f>Лист1!$A$73:$A$81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Лист1!$D$179:$D$201</c:f>
              <c:numCache/>
            </c:numRef>
          </c:xVal>
          <c:yVal>
            <c:numRef>
              <c:f>Лист1!$E$179:$E$201</c:f>
              <c:numCache/>
            </c:numRef>
          </c:yVal>
          <c:smooth val="0"/>
        </c:ser>
        <c:axId val="40783564"/>
        <c:axId val="23321053"/>
      </c:scatterChart>
      <c:valAx>
        <c:axId val="4078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1053"/>
        <c:crosses val="autoZero"/>
        <c:crossBetween val="midCat"/>
        <c:dispUnits/>
      </c:valAx>
      <c:valAx>
        <c:axId val="2332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3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2225"/>
          <c:w val="0.0965"/>
          <c:h val="0.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9525</xdr:rowOff>
    </xdr:from>
    <xdr:to>
      <xdr:col>11</xdr:col>
      <xdr:colOff>133350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3838575" y="4953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40</xdr:row>
      <xdr:rowOff>133350</xdr:rowOff>
    </xdr:from>
    <xdr:to>
      <xdr:col>9</xdr:col>
      <xdr:colOff>152400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504825" y="6981825"/>
        <a:ext cx="73533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83</xdr:row>
      <xdr:rowOff>9525</xdr:rowOff>
    </xdr:from>
    <xdr:to>
      <xdr:col>6</xdr:col>
      <xdr:colOff>590550</xdr:colOff>
      <xdr:row>100</xdr:row>
      <xdr:rowOff>104775</xdr:rowOff>
    </xdr:to>
    <xdr:graphicFrame>
      <xdr:nvGraphicFramePr>
        <xdr:cNvPr id="3" name="Chart 18"/>
        <xdr:cNvGraphicFramePr/>
      </xdr:nvGraphicFramePr>
      <xdr:xfrm>
        <a:off x="228600" y="13887450"/>
        <a:ext cx="56864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82</xdr:row>
      <xdr:rowOff>152400</xdr:rowOff>
    </xdr:from>
    <xdr:to>
      <xdr:col>14</xdr:col>
      <xdr:colOff>161925</xdr:colOff>
      <xdr:row>100</xdr:row>
      <xdr:rowOff>85725</xdr:rowOff>
    </xdr:to>
    <xdr:graphicFrame>
      <xdr:nvGraphicFramePr>
        <xdr:cNvPr id="4" name="Chart 19"/>
        <xdr:cNvGraphicFramePr/>
      </xdr:nvGraphicFramePr>
      <xdr:xfrm>
        <a:off x="6019800" y="13868400"/>
        <a:ext cx="54197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390525</xdr:colOff>
      <xdr:row>101</xdr:row>
      <xdr:rowOff>47625</xdr:rowOff>
    </xdr:from>
    <xdr:to>
      <xdr:col>10</xdr:col>
      <xdr:colOff>352425</xdr:colOff>
      <xdr:row>118</xdr:row>
      <xdr:rowOff>142875</xdr:rowOff>
    </xdr:to>
    <xdr:graphicFrame>
      <xdr:nvGraphicFramePr>
        <xdr:cNvPr id="5" name="Chart 20"/>
        <xdr:cNvGraphicFramePr/>
      </xdr:nvGraphicFramePr>
      <xdr:xfrm>
        <a:off x="3438525" y="16840200"/>
        <a:ext cx="53054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149</xdr:row>
      <xdr:rowOff>9525</xdr:rowOff>
    </xdr:from>
    <xdr:to>
      <xdr:col>17</xdr:col>
      <xdr:colOff>200025</xdr:colOff>
      <xdr:row>169</xdr:row>
      <xdr:rowOff>19050</xdr:rowOff>
    </xdr:to>
    <xdr:graphicFrame>
      <xdr:nvGraphicFramePr>
        <xdr:cNvPr id="6" name="Диаграмма 102"/>
        <xdr:cNvGraphicFramePr/>
      </xdr:nvGraphicFramePr>
      <xdr:xfrm>
        <a:off x="5334000" y="24669750"/>
        <a:ext cx="847725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149</xdr:row>
      <xdr:rowOff>0</xdr:rowOff>
    </xdr:from>
    <xdr:to>
      <xdr:col>26</xdr:col>
      <xdr:colOff>266700</xdr:colOff>
      <xdr:row>169</xdr:row>
      <xdr:rowOff>0</xdr:rowOff>
    </xdr:to>
    <xdr:graphicFrame>
      <xdr:nvGraphicFramePr>
        <xdr:cNvPr id="7" name="Диаграмма 104"/>
        <xdr:cNvGraphicFramePr/>
      </xdr:nvGraphicFramePr>
      <xdr:xfrm>
        <a:off x="14297025" y="24660225"/>
        <a:ext cx="57531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175</xdr:row>
      <xdr:rowOff>152400</xdr:rowOff>
    </xdr:from>
    <xdr:to>
      <xdr:col>28</xdr:col>
      <xdr:colOff>676275</xdr:colOff>
      <xdr:row>201</xdr:row>
      <xdr:rowOff>19050</xdr:rowOff>
    </xdr:to>
    <xdr:graphicFrame>
      <xdr:nvGraphicFramePr>
        <xdr:cNvPr id="8" name="Диаграмма 105"/>
        <xdr:cNvGraphicFramePr/>
      </xdr:nvGraphicFramePr>
      <xdr:xfrm>
        <a:off x="14306550" y="29022675"/>
        <a:ext cx="7524750" cy="4076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178</xdr:row>
      <xdr:rowOff>0</xdr:rowOff>
    </xdr:from>
    <xdr:to>
      <xdr:col>17</xdr:col>
      <xdr:colOff>190500</xdr:colOff>
      <xdr:row>198</xdr:row>
      <xdr:rowOff>9525</xdr:rowOff>
    </xdr:to>
    <xdr:graphicFrame>
      <xdr:nvGraphicFramePr>
        <xdr:cNvPr id="9" name="Диаграмма 102"/>
        <xdr:cNvGraphicFramePr/>
      </xdr:nvGraphicFramePr>
      <xdr:xfrm>
        <a:off x="5324475" y="29356050"/>
        <a:ext cx="8477250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220</xdr:row>
      <xdr:rowOff>142875</xdr:rowOff>
    </xdr:from>
    <xdr:to>
      <xdr:col>26</xdr:col>
      <xdr:colOff>9525</xdr:colOff>
      <xdr:row>245</xdr:row>
      <xdr:rowOff>133350</xdr:rowOff>
    </xdr:to>
    <xdr:graphicFrame>
      <xdr:nvGraphicFramePr>
        <xdr:cNvPr id="10" name="Диаграмма 102"/>
        <xdr:cNvGraphicFramePr/>
      </xdr:nvGraphicFramePr>
      <xdr:xfrm>
        <a:off x="9763125" y="36299775"/>
        <a:ext cx="10029825" cy="4038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962025</xdr:colOff>
      <xdr:row>261</xdr:row>
      <xdr:rowOff>9525</xdr:rowOff>
    </xdr:from>
    <xdr:to>
      <xdr:col>10</xdr:col>
      <xdr:colOff>257175</xdr:colOff>
      <xdr:row>279</xdr:row>
      <xdr:rowOff>85725</xdr:rowOff>
    </xdr:to>
    <xdr:graphicFrame>
      <xdr:nvGraphicFramePr>
        <xdr:cNvPr id="11" name="Диаграмма 102"/>
        <xdr:cNvGraphicFramePr/>
      </xdr:nvGraphicFramePr>
      <xdr:xfrm>
        <a:off x="3038475" y="42805350"/>
        <a:ext cx="5610225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600075</xdr:colOff>
      <xdr:row>261</xdr:row>
      <xdr:rowOff>9525</xdr:rowOff>
    </xdr:from>
    <xdr:to>
      <xdr:col>18</xdr:col>
      <xdr:colOff>428625</xdr:colOff>
      <xdr:row>279</xdr:row>
      <xdr:rowOff>85725</xdr:rowOff>
    </xdr:to>
    <xdr:graphicFrame>
      <xdr:nvGraphicFramePr>
        <xdr:cNvPr id="12" name="Диаграмма 102"/>
        <xdr:cNvGraphicFramePr/>
      </xdr:nvGraphicFramePr>
      <xdr:xfrm>
        <a:off x="8991600" y="42805350"/>
        <a:ext cx="5734050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47625</xdr:colOff>
      <xdr:row>293</xdr:row>
      <xdr:rowOff>0</xdr:rowOff>
    </xdr:from>
    <xdr:to>
      <xdr:col>26</xdr:col>
      <xdr:colOff>238125</xdr:colOff>
      <xdr:row>313</xdr:row>
      <xdr:rowOff>123825</xdr:rowOff>
    </xdr:to>
    <xdr:graphicFrame>
      <xdr:nvGraphicFramePr>
        <xdr:cNvPr id="13" name="Диаграмма 284"/>
        <xdr:cNvGraphicFramePr/>
      </xdr:nvGraphicFramePr>
      <xdr:xfrm>
        <a:off x="13658850" y="47977425"/>
        <a:ext cx="6362700" cy="3362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231</xdr:row>
      <xdr:rowOff>0</xdr:rowOff>
    </xdr:from>
    <xdr:to>
      <xdr:col>47</xdr:col>
      <xdr:colOff>666750</xdr:colOff>
      <xdr:row>257</xdr:row>
      <xdr:rowOff>9525</xdr:rowOff>
    </xdr:to>
    <xdr:graphicFrame>
      <xdr:nvGraphicFramePr>
        <xdr:cNvPr id="14" name="Диаграмма 285"/>
        <xdr:cNvGraphicFramePr/>
      </xdr:nvGraphicFramePr>
      <xdr:xfrm>
        <a:off x="23898225" y="37938075"/>
        <a:ext cx="10953750" cy="4219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114300</xdr:colOff>
      <xdr:row>321</xdr:row>
      <xdr:rowOff>47625</xdr:rowOff>
    </xdr:from>
    <xdr:to>
      <xdr:col>30</xdr:col>
      <xdr:colOff>95250</xdr:colOff>
      <xdr:row>349</xdr:row>
      <xdr:rowOff>19050</xdr:rowOff>
    </xdr:to>
    <xdr:graphicFrame>
      <xdr:nvGraphicFramePr>
        <xdr:cNvPr id="15" name="Диаграмма 284"/>
        <xdr:cNvGraphicFramePr/>
      </xdr:nvGraphicFramePr>
      <xdr:xfrm>
        <a:off x="13725525" y="52558950"/>
        <a:ext cx="8896350" cy="4505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441</xdr:row>
      <xdr:rowOff>0</xdr:rowOff>
    </xdr:from>
    <xdr:to>
      <xdr:col>20</xdr:col>
      <xdr:colOff>352425</xdr:colOff>
      <xdr:row>462</xdr:row>
      <xdr:rowOff>47625</xdr:rowOff>
    </xdr:to>
    <xdr:graphicFrame>
      <xdr:nvGraphicFramePr>
        <xdr:cNvPr id="16" name="Диаграмма 284"/>
        <xdr:cNvGraphicFramePr/>
      </xdr:nvGraphicFramePr>
      <xdr:xfrm>
        <a:off x="8391525" y="72104250"/>
        <a:ext cx="7629525" cy="3476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3"/>
  <sheetViews>
    <sheetView tabSelected="1" zoomScale="85" zoomScaleNormal="85" zoomScalePageLayoutView="0" workbookViewId="0" topLeftCell="A391">
      <selection activeCell="M422" sqref="M422"/>
    </sheetView>
  </sheetViews>
  <sheetFormatPr defaultColWidth="9.00390625" defaultRowHeight="12.75"/>
  <cols>
    <col min="1" max="1" width="12.875" style="0" customWidth="1"/>
    <col min="2" max="2" width="14.375" style="0" customWidth="1"/>
    <col min="3" max="3" width="12.75390625" style="0" customWidth="1"/>
    <col min="4" max="4" width="9.25390625" style="0" customWidth="1"/>
    <col min="5" max="5" width="11.625" style="0" bestFit="1" customWidth="1"/>
    <col min="9" max="9" width="13.25390625" style="0" customWidth="1"/>
    <col min="13" max="13" width="10.875" style="0" customWidth="1"/>
    <col min="15" max="15" width="12.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3" t="s">
        <v>31</v>
      </c>
    </row>
    <row r="2" spans="1:10" ht="12.75">
      <c r="A2" s="1" t="s">
        <v>9</v>
      </c>
      <c r="B2" s="1" t="s">
        <v>50</v>
      </c>
      <c r="C2" s="1" t="s">
        <v>51</v>
      </c>
      <c r="D2" s="1">
        <v>300</v>
      </c>
      <c r="E2" s="1">
        <v>70</v>
      </c>
      <c r="F2" s="1">
        <v>0.32</v>
      </c>
      <c r="G2" s="1">
        <v>11.6</v>
      </c>
      <c r="H2" s="1">
        <v>1070</v>
      </c>
      <c r="I2" s="1">
        <v>9</v>
      </c>
      <c r="J2" s="13">
        <v>550</v>
      </c>
    </row>
    <row r="4" spans="1:3" ht="12.75">
      <c r="A4" s="1" t="s">
        <v>10</v>
      </c>
      <c r="B4" s="1" t="s">
        <v>11</v>
      </c>
      <c r="C4" s="1" t="s">
        <v>12</v>
      </c>
    </row>
    <row r="5" spans="1:3" ht="12.75">
      <c r="A5" s="1">
        <v>0</v>
      </c>
      <c r="B5" s="1">
        <f>12+0.004*A5^2</f>
        <v>12</v>
      </c>
      <c r="C5" s="1">
        <f>16+0.004*A5^2</f>
        <v>16</v>
      </c>
    </row>
    <row r="6" spans="1:3" ht="12.75">
      <c r="A6" s="1">
        <v>5</v>
      </c>
      <c r="B6" s="1">
        <f aca="true" t="shared" si="0" ref="B6:B19">12+0.004*A6^2</f>
        <v>12.1</v>
      </c>
      <c r="C6" s="1">
        <f aca="true" t="shared" si="1" ref="C6:C19">16+0.004*A6^2</f>
        <v>16.1</v>
      </c>
    </row>
    <row r="7" spans="1:3" ht="12.75">
      <c r="A7" s="1">
        <v>10</v>
      </c>
      <c r="B7" s="1">
        <f>12+0.004*A7^2</f>
        <v>12.4</v>
      </c>
      <c r="C7" s="1">
        <f t="shared" si="1"/>
        <v>16.4</v>
      </c>
    </row>
    <row r="8" spans="1:3" ht="12.75">
      <c r="A8" s="1">
        <v>15</v>
      </c>
      <c r="B8" s="1">
        <f>12+0.004*A8^2</f>
        <v>12.9</v>
      </c>
      <c r="C8" s="1">
        <f t="shared" si="1"/>
        <v>16.9</v>
      </c>
    </row>
    <row r="9" spans="1:3" ht="12.75">
      <c r="A9" s="1">
        <v>20</v>
      </c>
      <c r="B9" s="1">
        <f t="shared" si="0"/>
        <v>13.6</v>
      </c>
      <c r="C9" s="1">
        <f>16+0.004*A9^2</f>
        <v>17.6</v>
      </c>
    </row>
    <row r="10" spans="1:3" ht="12.75">
      <c r="A10" s="1">
        <v>25</v>
      </c>
      <c r="B10" s="1">
        <f t="shared" si="0"/>
        <v>14.5</v>
      </c>
      <c r="C10" s="1">
        <f t="shared" si="1"/>
        <v>18.5</v>
      </c>
    </row>
    <row r="11" spans="1:3" ht="12.75">
      <c r="A11" s="1">
        <v>30</v>
      </c>
      <c r="B11" s="1">
        <f t="shared" si="0"/>
        <v>15.6</v>
      </c>
      <c r="C11" s="1">
        <f t="shared" si="1"/>
        <v>19.6</v>
      </c>
    </row>
    <row r="12" spans="1:3" ht="12.75">
      <c r="A12" s="1">
        <v>35</v>
      </c>
      <c r="B12" s="1">
        <f t="shared" si="0"/>
        <v>16.9</v>
      </c>
      <c r="C12" s="1">
        <f t="shared" si="1"/>
        <v>20.9</v>
      </c>
    </row>
    <row r="13" spans="1:3" ht="12.75">
      <c r="A13" s="1">
        <v>40</v>
      </c>
      <c r="B13" s="1">
        <f t="shared" si="0"/>
        <v>18.4</v>
      </c>
      <c r="C13" s="1">
        <f t="shared" si="1"/>
        <v>22.4</v>
      </c>
    </row>
    <row r="14" spans="1:3" ht="12.75">
      <c r="A14" s="1">
        <v>45</v>
      </c>
      <c r="B14" s="1">
        <f t="shared" si="0"/>
        <v>20.1</v>
      </c>
      <c r="C14" s="1">
        <f t="shared" si="1"/>
        <v>24.1</v>
      </c>
    </row>
    <row r="15" spans="1:3" ht="12.75">
      <c r="A15" s="1">
        <v>50</v>
      </c>
      <c r="B15" s="1">
        <f t="shared" si="0"/>
        <v>22</v>
      </c>
      <c r="C15" s="1">
        <f t="shared" si="1"/>
        <v>26</v>
      </c>
    </row>
    <row r="16" spans="1:3" ht="12.75">
      <c r="A16" s="1">
        <v>55</v>
      </c>
      <c r="B16" s="1">
        <f t="shared" si="0"/>
        <v>24.1</v>
      </c>
      <c r="C16" s="1">
        <f t="shared" si="1"/>
        <v>28.1</v>
      </c>
    </row>
    <row r="17" spans="1:3" ht="12.75">
      <c r="A17" s="1">
        <v>60</v>
      </c>
      <c r="B17" s="1">
        <f t="shared" si="0"/>
        <v>26.4</v>
      </c>
      <c r="C17" s="1">
        <f t="shared" si="1"/>
        <v>30.4</v>
      </c>
    </row>
    <row r="18" spans="1:3" ht="12.75">
      <c r="A18" s="1">
        <v>65</v>
      </c>
      <c r="B18" s="1">
        <f t="shared" si="0"/>
        <v>28.9</v>
      </c>
      <c r="C18" s="1">
        <f t="shared" si="1"/>
        <v>32.9</v>
      </c>
    </row>
    <row r="19" spans="1:3" ht="12.75">
      <c r="A19" s="1">
        <v>70</v>
      </c>
      <c r="B19" s="1">
        <f t="shared" si="0"/>
        <v>31.6</v>
      </c>
      <c r="C19" s="1">
        <f t="shared" si="1"/>
        <v>35.6</v>
      </c>
    </row>
    <row r="20" spans="1:3" ht="12.75">
      <c r="A20" s="6"/>
      <c r="B20" s="6"/>
      <c r="C20" s="6"/>
    </row>
    <row r="22" ht="12.75">
      <c r="A22" s="1" t="s">
        <v>13</v>
      </c>
    </row>
    <row r="23" ht="12.75">
      <c r="A23" s="2">
        <f>((10515+70*F2*110)*9.81)/1000</f>
        <v>127.32399000000001</v>
      </c>
    </row>
    <row r="25" ht="20.25">
      <c r="A25" s="3">
        <v>3</v>
      </c>
    </row>
    <row r="27" spans="1:5" ht="12.75">
      <c r="A27" s="5">
        <v>3.1</v>
      </c>
      <c r="B27" s="4" t="s">
        <v>21</v>
      </c>
      <c r="C27" s="4"/>
      <c r="D27" s="4"/>
      <c r="E27" s="4"/>
    </row>
    <row r="29" spans="1:10" ht="34.5" customHeight="1">
      <c r="A29" s="36" t="s">
        <v>14</v>
      </c>
      <c r="B29" s="34" t="s">
        <v>15</v>
      </c>
      <c r="C29" s="35"/>
      <c r="D29" s="35"/>
      <c r="E29" s="36" t="s">
        <v>16</v>
      </c>
      <c r="F29" s="36"/>
      <c r="G29" s="36"/>
      <c r="H29" s="37" t="s">
        <v>17</v>
      </c>
      <c r="I29" s="37"/>
      <c r="J29" s="37"/>
    </row>
    <row r="30" spans="1:10" ht="12.75">
      <c r="A30" s="36"/>
      <c r="B30" s="1" t="s">
        <v>18</v>
      </c>
      <c r="C30" s="1" t="s">
        <v>19</v>
      </c>
      <c r="D30" s="1" t="s">
        <v>20</v>
      </c>
      <c r="E30" s="1" t="s">
        <v>18</v>
      </c>
      <c r="F30" s="1" t="s">
        <v>19</v>
      </c>
      <c r="G30" s="1" t="s">
        <v>20</v>
      </c>
      <c r="H30" s="1" t="s">
        <v>18</v>
      </c>
      <c r="I30" s="1" t="s">
        <v>19</v>
      </c>
      <c r="J30" s="1" t="s">
        <v>20</v>
      </c>
    </row>
    <row r="31" spans="1:10" ht="12.75">
      <c r="A31" s="1">
        <v>120</v>
      </c>
      <c r="B31" s="1">
        <v>1510</v>
      </c>
      <c r="C31" s="1">
        <v>1850</v>
      </c>
      <c r="D31" s="1">
        <v>4000</v>
      </c>
      <c r="E31" s="1">
        <v>300</v>
      </c>
      <c r="F31" s="1">
        <v>220</v>
      </c>
      <c r="G31" s="1">
        <v>90</v>
      </c>
      <c r="H31" s="1">
        <v>91.5</v>
      </c>
      <c r="I31" s="1">
        <v>89</v>
      </c>
      <c r="J31" s="1">
        <v>82</v>
      </c>
    </row>
    <row r="32" spans="1:10" ht="12.75">
      <c r="A32" s="1">
        <v>160</v>
      </c>
      <c r="B32" s="1">
        <v>1400</v>
      </c>
      <c r="C32" s="1">
        <v>1700</v>
      </c>
      <c r="D32" s="1">
        <v>3450</v>
      </c>
      <c r="E32" s="1">
        <v>420</v>
      </c>
      <c r="F32" s="1">
        <v>330</v>
      </c>
      <c r="G32" s="1">
        <v>170</v>
      </c>
      <c r="H32" s="1">
        <v>91</v>
      </c>
      <c r="I32" s="1">
        <v>90</v>
      </c>
      <c r="J32" s="1">
        <v>86</v>
      </c>
    </row>
    <row r="33" spans="1:10" ht="12.75">
      <c r="A33" s="1">
        <v>200</v>
      </c>
      <c r="B33" s="1">
        <v>1300</v>
      </c>
      <c r="C33" s="1">
        <v>1600</v>
      </c>
      <c r="D33" s="1">
        <v>3000</v>
      </c>
      <c r="E33" s="1">
        <v>600</v>
      </c>
      <c r="F33" s="1">
        <v>480</v>
      </c>
      <c r="G33" s="1">
        <v>260</v>
      </c>
      <c r="H33" s="1">
        <v>90.5</v>
      </c>
      <c r="I33" s="1">
        <v>90</v>
      </c>
      <c r="J33" s="1">
        <v>88</v>
      </c>
    </row>
    <row r="34" spans="1:10" ht="12.75">
      <c r="A34" s="1">
        <v>240</v>
      </c>
      <c r="B34" s="1">
        <v>1220</v>
      </c>
      <c r="C34" s="1">
        <v>1500</v>
      </c>
      <c r="D34" s="1">
        <v>2610</v>
      </c>
      <c r="E34" s="1">
        <v>780</v>
      </c>
      <c r="F34" s="1">
        <v>650</v>
      </c>
      <c r="G34" s="1">
        <v>360</v>
      </c>
      <c r="H34" s="1">
        <v>90</v>
      </c>
      <c r="I34" s="1">
        <v>90</v>
      </c>
      <c r="J34" s="1">
        <v>90</v>
      </c>
    </row>
    <row r="35" spans="1:10" ht="12.75">
      <c r="A35" s="1">
        <v>280</v>
      </c>
      <c r="B35" s="1">
        <v>1170</v>
      </c>
      <c r="C35" s="1">
        <v>1430</v>
      </c>
      <c r="D35" s="1">
        <v>2380</v>
      </c>
      <c r="E35" s="1">
        <v>970</v>
      </c>
      <c r="F35" s="1">
        <v>810</v>
      </c>
      <c r="G35" s="1">
        <v>480</v>
      </c>
      <c r="H35" s="1">
        <v>89</v>
      </c>
      <c r="I35" s="1">
        <v>90</v>
      </c>
      <c r="J35" s="1">
        <v>90</v>
      </c>
    </row>
    <row r="36" spans="1:10" ht="12.75">
      <c r="A36" s="1">
        <v>320</v>
      </c>
      <c r="B36" s="1">
        <v>1110</v>
      </c>
      <c r="C36" s="1">
        <v>1370</v>
      </c>
      <c r="D36" s="1">
        <v>2200</v>
      </c>
      <c r="E36" s="1">
        <v>1160</v>
      </c>
      <c r="F36" s="1">
        <v>980</v>
      </c>
      <c r="G36" s="1">
        <v>600</v>
      </c>
      <c r="H36" s="1">
        <v>88.5</v>
      </c>
      <c r="I36" s="1">
        <v>90</v>
      </c>
      <c r="J36" s="1">
        <v>90</v>
      </c>
    </row>
    <row r="37" spans="1:10" ht="12.75">
      <c r="A37" s="1">
        <v>360</v>
      </c>
      <c r="B37" s="1">
        <v>1050</v>
      </c>
      <c r="C37" s="1">
        <v>1310</v>
      </c>
      <c r="D37" s="1">
        <v>2050</v>
      </c>
      <c r="E37" s="1">
        <v>1340</v>
      </c>
      <c r="F37" s="1">
        <v>1150</v>
      </c>
      <c r="G37" s="1">
        <v>730</v>
      </c>
      <c r="H37" s="1">
        <v>87</v>
      </c>
      <c r="I37" s="1">
        <v>89</v>
      </c>
      <c r="J37" s="1">
        <v>89</v>
      </c>
    </row>
    <row r="38" spans="1:10" ht="12.75">
      <c r="A38" s="1">
        <v>400</v>
      </c>
      <c r="B38" s="1">
        <v>1020</v>
      </c>
      <c r="C38" s="1">
        <v>1260</v>
      </c>
      <c r="D38" s="1">
        <v>1910</v>
      </c>
      <c r="E38" s="1">
        <v>1530</v>
      </c>
      <c r="F38" s="1">
        <v>1320</v>
      </c>
      <c r="G38" s="1">
        <v>860</v>
      </c>
      <c r="H38" s="1">
        <v>86</v>
      </c>
      <c r="I38" s="1">
        <v>88</v>
      </c>
      <c r="J38" s="1">
        <v>88</v>
      </c>
    </row>
    <row r="39" spans="1:10" ht="12.75">
      <c r="A39" s="1">
        <v>440</v>
      </c>
      <c r="B39" s="1">
        <v>990</v>
      </c>
      <c r="C39" s="1">
        <v>1210</v>
      </c>
      <c r="D39" s="1">
        <v>1800</v>
      </c>
      <c r="E39" s="1">
        <v>1730</v>
      </c>
      <c r="F39" s="1">
        <v>1490</v>
      </c>
      <c r="G39" s="1">
        <v>1000</v>
      </c>
      <c r="H39" s="1">
        <v>84.5</v>
      </c>
      <c r="I39" s="1">
        <v>86.5</v>
      </c>
      <c r="J39" s="1">
        <v>87</v>
      </c>
    </row>
    <row r="40" spans="1:10" ht="12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2" spans="14:15" ht="18">
      <c r="N42" s="8"/>
      <c r="O42" s="9"/>
    </row>
    <row r="43" spans="14:15" ht="12.75">
      <c r="N43" s="8"/>
      <c r="O43" s="10"/>
    </row>
    <row r="44" spans="14:15" ht="12.75">
      <c r="N44" s="6"/>
      <c r="O44" s="7"/>
    </row>
    <row r="45" spans="14:15" ht="12.75">
      <c r="N45" s="6"/>
      <c r="O45" s="7"/>
    </row>
    <row r="46" spans="14:15" ht="12.75">
      <c r="N46" s="6"/>
      <c r="O46" s="7"/>
    </row>
    <row r="47" spans="14:15" ht="12.75">
      <c r="N47" s="6"/>
      <c r="O47" s="7"/>
    </row>
    <row r="48" spans="14:15" ht="12.75">
      <c r="N48" s="6"/>
      <c r="O48" s="7"/>
    </row>
    <row r="49" spans="14:15" ht="12.75">
      <c r="N49" s="6"/>
      <c r="O49" s="7"/>
    </row>
    <row r="50" spans="14:15" ht="12.75">
      <c r="N50" s="6"/>
      <c r="O50" s="7"/>
    </row>
    <row r="51" spans="14:15" ht="12.75">
      <c r="N51" s="6"/>
      <c r="O51" s="7"/>
    </row>
    <row r="52" spans="14:15" ht="12.75">
      <c r="N52" s="6"/>
      <c r="O52" s="7"/>
    </row>
    <row r="53" spans="14:15" ht="12.75">
      <c r="N53" s="6"/>
      <c r="O53" s="7"/>
    </row>
    <row r="66" spans="9:19" ht="12.75">
      <c r="I66" s="1" t="s">
        <v>29</v>
      </c>
      <c r="J66" s="1">
        <v>200</v>
      </c>
      <c r="K66" s="1">
        <v>150</v>
      </c>
      <c r="L66" s="1">
        <v>125</v>
      </c>
      <c r="M66" s="1">
        <v>100</v>
      </c>
      <c r="N66" s="1">
        <v>75</v>
      </c>
      <c r="O66" s="1">
        <v>60</v>
      </c>
      <c r="P66" s="1">
        <v>50</v>
      </c>
      <c r="Q66" s="1">
        <v>40</v>
      </c>
      <c r="R66" s="1">
        <v>30</v>
      </c>
      <c r="S66" s="1">
        <v>25</v>
      </c>
    </row>
    <row r="67" spans="9:19" ht="12.75">
      <c r="I67" s="1" t="s">
        <v>30</v>
      </c>
      <c r="J67" s="1">
        <v>17.9</v>
      </c>
      <c r="K67" s="1">
        <v>14.9</v>
      </c>
      <c r="L67" s="1">
        <v>13.5</v>
      </c>
      <c r="M67" s="1">
        <v>12</v>
      </c>
      <c r="N67" s="1">
        <v>10.9</v>
      </c>
      <c r="O67" s="1">
        <v>12</v>
      </c>
      <c r="P67" s="1">
        <v>14.4</v>
      </c>
      <c r="Q67" s="1">
        <v>19.5</v>
      </c>
      <c r="R67" s="1">
        <v>28.8</v>
      </c>
      <c r="S67" s="1">
        <v>35.5</v>
      </c>
    </row>
    <row r="68" spans="1:5" ht="12.75">
      <c r="A68" s="4">
        <v>3.2</v>
      </c>
      <c r="B68" s="4" t="s">
        <v>22</v>
      </c>
      <c r="C68" s="4"/>
      <c r="D68" s="4"/>
      <c r="E68" s="4"/>
    </row>
    <row r="71" spans="1:16" ht="12.75">
      <c r="A71" s="36" t="s">
        <v>14</v>
      </c>
      <c r="B71" s="34" t="s">
        <v>23</v>
      </c>
      <c r="C71" s="35"/>
      <c r="D71" s="35"/>
      <c r="E71" s="36" t="s">
        <v>24</v>
      </c>
      <c r="F71" s="36"/>
      <c r="G71" s="36"/>
      <c r="H71" s="37" t="s">
        <v>25</v>
      </c>
      <c r="I71" s="37"/>
      <c r="J71" s="37"/>
      <c r="M71" s="36" t="s">
        <v>14</v>
      </c>
      <c r="N71" s="32" t="s">
        <v>26</v>
      </c>
      <c r="O71" s="32" t="s">
        <v>27</v>
      </c>
      <c r="P71" s="32" t="s">
        <v>28</v>
      </c>
    </row>
    <row r="72" spans="1:16" ht="12.75">
      <c r="A72" s="36"/>
      <c r="B72" s="1" t="s">
        <v>18</v>
      </c>
      <c r="C72" s="1" t="s">
        <v>19</v>
      </c>
      <c r="D72" s="1" t="s">
        <v>20</v>
      </c>
      <c r="E72" s="1" t="s">
        <v>18</v>
      </c>
      <c r="F72" s="1" t="s">
        <v>19</v>
      </c>
      <c r="G72" s="1" t="s">
        <v>20</v>
      </c>
      <c r="H72" s="1" t="s">
        <v>18</v>
      </c>
      <c r="I72" s="1" t="s">
        <v>19</v>
      </c>
      <c r="J72" s="1" t="s">
        <v>20</v>
      </c>
      <c r="M72" s="36"/>
      <c r="N72" s="33"/>
      <c r="O72" s="33"/>
      <c r="P72" s="33"/>
    </row>
    <row r="73" spans="1:16" ht="12.75">
      <c r="A73" s="1">
        <v>120</v>
      </c>
      <c r="B73" s="12">
        <f>0.1885*((B31*1.07)/11.6)</f>
        <v>26.255125000000003</v>
      </c>
      <c r="C73" s="12">
        <f>0.1885*((C31*1.07)/11.6)</f>
        <v>32.166875000000005</v>
      </c>
      <c r="D73" s="12">
        <f>0.1885*((D31*1.07)/11.6)</f>
        <v>69.55</v>
      </c>
      <c r="E73" s="12">
        <f>((2*$G$2)/1.07)*(E31-9.55*(P73/B31))</f>
        <v>4739.817292814259</v>
      </c>
      <c r="F73" s="12">
        <f>((2*$G$2)/1.07)*(F31-9.55*(P73/C31))</f>
        <v>3329.5896943672633</v>
      </c>
      <c r="G73" s="12">
        <f>((2*$G$2)/1.07)*(G31-9.55*(P72/D31))</f>
        <v>1951.4018691588783</v>
      </c>
      <c r="H73" s="12">
        <f>(H31-(P73/(550*M73)))/100</f>
        <v>0.91305</v>
      </c>
      <c r="I73" s="12">
        <f>(I31-(P73/(550*M73)))/100</f>
        <v>0.8880500000000001</v>
      </c>
      <c r="J73" s="12">
        <f>(J31-(P73/(550*M73)))/100</f>
        <v>0.81805</v>
      </c>
      <c r="M73" s="1">
        <v>120</v>
      </c>
      <c r="N73" s="2">
        <f>(M73/Ih)*100</f>
        <v>40</v>
      </c>
      <c r="O73" s="11">
        <f>PERCENTILE(P67:Q67,1-PERCENTRANK(P66:Q66,N73))</f>
        <v>19.5</v>
      </c>
      <c r="P73" s="11">
        <f>(O73*Uks*M73)/100</f>
        <v>12870</v>
      </c>
    </row>
    <row r="74" spans="1:16" ht="12.75">
      <c r="A74" s="1">
        <v>160</v>
      </c>
      <c r="B74" s="12">
        <f aca="true" t="shared" si="2" ref="B74:D81">0.1885*((B32*1.07)/11.6)</f>
        <v>24.3425</v>
      </c>
      <c r="C74" s="12">
        <f t="shared" si="2"/>
        <v>29.558750000000003</v>
      </c>
      <c r="D74" s="12">
        <f t="shared" si="2"/>
        <v>59.986875</v>
      </c>
      <c r="E74" s="12">
        <f aca="true" t="shared" si="3" ref="E74:E81">((2*$G$2)/1.07)*(E32-9.55*(P74/B32))</f>
        <v>7336.3243936982635</v>
      </c>
      <c r="F74" s="12">
        <f aca="true" t="shared" si="4" ref="F74:F81">((2*$G$2)/1.07)*(F32-9.55*(P74/C32))</f>
        <v>5697.313876723473</v>
      </c>
      <c r="G74" s="12">
        <f aca="true" t="shared" si="5" ref="G74:G81">((2*$G$2)/1.07)*(G32-9.55*(P73/D32))</f>
        <v>2913.537261275904</v>
      </c>
      <c r="H74" s="12">
        <f>(H32-(P74/(550*M74)))/100</f>
        <v>0.9086399199999999</v>
      </c>
      <c r="I74" s="12">
        <f aca="true" t="shared" si="6" ref="I74:I81">(I32-(P74/(550*M74)))/100</f>
        <v>0.8986399199999999</v>
      </c>
      <c r="J74" s="12">
        <f aca="true" t="shared" si="7" ref="J74:J81">(J32-(P74/(550*M74)))/100</f>
        <v>0.85863992</v>
      </c>
      <c r="M74" s="1">
        <v>160</v>
      </c>
      <c r="N74" s="2">
        <f aca="true" t="shared" si="8" ref="N74:N81">(M74/Ih)*100</f>
        <v>53.333333333333336</v>
      </c>
      <c r="O74" s="11">
        <f>PERCENTILE(O67:P67,1-PERCENTRANK(O66:P66,N74))</f>
        <v>13.6008</v>
      </c>
      <c r="P74" s="11">
        <f>(O74*Uks*M74)/100</f>
        <v>11968.704</v>
      </c>
    </row>
    <row r="75" spans="1:16" ht="12.75">
      <c r="A75" s="1">
        <v>200</v>
      </c>
      <c r="B75" s="12">
        <f t="shared" si="2"/>
        <v>22.60375</v>
      </c>
      <c r="C75" s="12">
        <f t="shared" si="2"/>
        <v>27.819999999999997</v>
      </c>
      <c r="D75" s="12">
        <f t="shared" si="2"/>
        <v>52.1625</v>
      </c>
      <c r="E75" s="12">
        <f t="shared" si="3"/>
        <v>10992.407544500358</v>
      </c>
      <c r="F75" s="12">
        <f t="shared" si="4"/>
        <v>8768.714307476635</v>
      </c>
      <c r="G75" s="12">
        <f t="shared" si="5"/>
        <v>4811.281601794392</v>
      </c>
      <c r="H75" s="12">
        <f aca="true" t="shared" si="9" ref="H75:H81">(H33-(P75/(550*M75)))/100</f>
        <v>0.90384884</v>
      </c>
      <c r="I75" s="12">
        <f t="shared" si="6"/>
        <v>0.89884884</v>
      </c>
      <c r="J75" s="12">
        <f t="shared" si="7"/>
        <v>0.87884884</v>
      </c>
      <c r="M75" s="1">
        <v>200</v>
      </c>
      <c r="N75" s="2">
        <f t="shared" si="8"/>
        <v>66.66666666666666</v>
      </c>
      <c r="O75" s="11">
        <f>PERCENTILE(N67:O67,1-PERCENTRANK(N66:O66,N75))</f>
        <v>11.5116</v>
      </c>
      <c r="P75" s="11">
        <f aca="true" t="shared" si="10" ref="P75:P81">(O75*Uks*M75)/100</f>
        <v>12662.76</v>
      </c>
    </row>
    <row r="76" spans="1:16" ht="12.75">
      <c r="A76" s="1">
        <v>240</v>
      </c>
      <c r="B76" s="12">
        <f t="shared" si="2"/>
        <v>21.212750000000003</v>
      </c>
      <c r="C76" s="12">
        <f t="shared" si="2"/>
        <v>26.08125</v>
      </c>
      <c r="D76" s="12">
        <f t="shared" si="2"/>
        <v>45.381375000000006</v>
      </c>
      <c r="E76" s="12">
        <f t="shared" si="3"/>
        <v>14420.84701700628</v>
      </c>
      <c r="F76" s="12">
        <f t="shared" si="4"/>
        <v>12067.19856448598</v>
      </c>
      <c r="G76" s="12">
        <f t="shared" si="5"/>
        <v>6801.0022180685355</v>
      </c>
      <c r="H76" s="12">
        <f t="shared" si="9"/>
        <v>0.898888</v>
      </c>
      <c r="I76" s="12">
        <f t="shared" si="6"/>
        <v>0.898888</v>
      </c>
      <c r="J76" s="12">
        <f t="shared" si="7"/>
        <v>0.898888</v>
      </c>
      <c r="M76" s="1">
        <v>240</v>
      </c>
      <c r="N76" s="2">
        <f t="shared" si="8"/>
        <v>80</v>
      </c>
      <c r="O76" s="11">
        <f>PERCENTILE(M67:N67,PERCENTRANK(M66:N66,N76))</f>
        <v>11.120000000000001</v>
      </c>
      <c r="P76" s="11">
        <f t="shared" si="10"/>
        <v>14678.400000000001</v>
      </c>
    </row>
    <row r="77" spans="1:16" ht="12.75">
      <c r="A77" s="1">
        <v>280</v>
      </c>
      <c r="B77" s="12">
        <f t="shared" si="2"/>
        <v>20.343375</v>
      </c>
      <c r="C77" s="12">
        <f t="shared" si="2"/>
        <v>24.864125</v>
      </c>
      <c r="D77" s="12">
        <f t="shared" si="2"/>
        <v>41.382250000000006</v>
      </c>
      <c r="E77" s="12">
        <f t="shared" si="3"/>
        <v>17841.251174119338</v>
      </c>
      <c r="F77" s="12">
        <f t="shared" si="4"/>
        <v>14952.187664126526</v>
      </c>
      <c r="G77" s="12">
        <f t="shared" si="5"/>
        <v>9130.422404774994</v>
      </c>
      <c r="H77" s="12">
        <f t="shared" si="9"/>
        <v>0.88882937</v>
      </c>
      <c r="I77" s="12">
        <f t="shared" si="6"/>
        <v>0.89882937</v>
      </c>
      <c r="J77" s="12">
        <f t="shared" si="7"/>
        <v>0.89882937</v>
      </c>
      <c r="M77" s="1">
        <v>280</v>
      </c>
      <c r="N77" s="2">
        <f t="shared" si="8"/>
        <v>93.33333333333333</v>
      </c>
      <c r="O77" s="11">
        <f>PERCENTILE(M67:N67,PERCENTRANK(M66:N66,N77))</f>
        <v>11.7063</v>
      </c>
      <c r="P77" s="11">
        <f t="shared" si="10"/>
        <v>18027.702</v>
      </c>
    </row>
    <row r="78" spans="1:16" ht="12.75">
      <c r="A78" s="1">
        <v>320</v>
      </c>
      <c r="B78" s="12">
        <f t="shared" si="2"/>
        <v>19.300125</v>
      </c>
      <c r="C78" s="12">
        <f t="shared" si="2"/>
        <v>23.820875</v>
      </c>
      <c r="D78" s="12">
        <f t="shared" si="2"/>
        <v>38.252500000000005</v>
      </c>
      <c r="E78" s="12">
        <f t="shared" si="3"/>
        <v>21080.56285728719</v>
      </c>
      <c r="F78" s="12">
        <f t="shared" si="4"/>
        <v>17950.327106623914</v>
      </c>
      <c r="G78" s="12">
        <f t="shared" si="5"/>
        <v>11312.566841495323</v>
      </c>
      <c r="H78" s="12">
        <f t="shared" si="9"/>
        <v>0.8837600999999999</v>
      </c>
      <c r="I78" s="12">
        <f t="shared" si="6"/>
        <v>0.8987601</v>
      </c>
      <c r="J78" s="12">
        <f t="shared" si="7"/>
        <v>0.8987601</v>
      </c>
      <c r="M78" s="1">
        <v>320</v>
      </c>
      <c r="N78" s="2">
        <f t="shared" si="8"/>
        <v>106.66666666666667</v>
      </c>
      <c r="O78" s="11">
        <f>PERCENTILE(L67:M67,PERCENTRANK(L66:M66,N78))</f>
        <v>12.399000000000001</v>
      </c>
      <c r="P78" s="11">
        <f t="shared" si="10"/>
        <v>21822.24</v>
      </c>
    </row>
    <row r="79" spans="1:16" ht="12.75">
      <c r="A79" s="1">
        <v>360</v>
      </c>
      <c r="B79" s="12">
        <f t="shared" si="2"/>
        <v>18.256875</v>
      </c>
      <c r="C79" s="12">
        <f t="shared" si="2"/>
        <v>22.777625</v>
      </c>
      <c r="D79" s="12">
        <f t="shared" si="2"/>
        <v>35.644375</v>
      </c>
      <c r="E79" s="12">
        <f t="shared" si="3"/>
        <v>23900.051481975963</v>
      </c>
      <c r="F79" s="12">
        <f t="shared" si="4"/>
        <v>20803.387201255613</v>
      </c>
      <c r="G79" s="12">
        <f t="shared" si="5"/>
        <v>13623.826991383632</v>
      </c>
      <c r="H79" s="12">
        <f t="shared" si="9"/>
        <v>0.8686799999999999</v>
      </c>
      <c r="I79" s="12">
        <f t="shared" si="6"/>
        <v>0.8886799999999999</v>
      </c>
      <c r="J79" s="12">
        <f t="shared" si="7"/>
        <v>0.8886799999999999</v>
      </c>
      <c r="M79" s="1">
        <v>360</v>
      </c>
      <c r="N79" s="2">
        <f t="shared" si="8"/>
        <v>120</v>
      </c>
      <c r="O79" s="11">
        <f>PERCENTILE(L67:M67,PERCENTRANK(L66:M66,N79))</f>
        <v>13.2</v>
      </c>
      <c r="P79" s="11">
        <f t="shared" si="10"/>
        <v>26136</v>
      </c>
    </row>
    <row r="80" spans="1:16" ht="12.75">
      <c r="A80" s="1">
        <v>400</v>
      </c>
      <c r="B80" s="12">
        <f t="shared" si="2"/>
        <v>17.73525</v>
      </c>
      <c r="C80" s="12">
        <f t="shared" si="2"/>
        <v>21.908250000000002</v>
      </c>
      <c r="D80" s="12">
        <f t="shared" si="2"/>
        <v>33.210125000000005</v>
      </c>
      <c r="E80" s="12">
        <f t="shared" si="3"/>
        <v>26936.363571192956</v>
      </c>
      <c r="F80" s="12">
        <f t="shared" si="4"/>
        <v>23571.18172496662</v>
      </c>
      <c r="G80" s="12">
        <f t="shared" si="5"/>
        <v>15813.293457943922</v>
      </c>
      <c r="H80" s="12">
        <f t="shared" si="9"/>
        <v>0.85860338</v>
      </c>
      <c r="I80" s="12">
        <f t="shared" si="6"/>
        <v>0.8786033799999999</v>
      </c>
      <c r="J80" s="12">
        <f t="shared" si="7"/>
        <v>0.8786033799999999</v>
      </c>
      <c r="M80" s="1">
        <v>400</v>
      </c>
      <c r="N80" s="2">
        <f t="shared" si="8"/>
        <v>133.33333333333331</v>
      </c>
      <c r="O80" s="11">
        <f>PERCENTILE(K67:L67,PERCENTRANK(K66:L66,N80))</f>
        <v>13.9662</v>
      </c>
      <c r="P80" s="11">
        <f t="shared" si="10"/>
        <v>30725.640000000003</v>
      </c>
    </row>
    <row r="81" spans="1:16" ht="12.75">
      <c r="A81" s="1">
        <v>440</v>
      </c>
      <c r="B81" s="12">
        <f t="shared" si="2"/>
        <v>17.213625</v>
      </c>
      <c r="C81" s="12">
        <f t="shared" si="2"/>
        <v>21.038875</v>
      </c>
      <c r="D81" s="12">
        <f t="shared" si="2"/>
        <v>31.297500000000003</v>
      </c>
      <c r="E81" s="12">
        <f t="shared" si="3"/>
        <v>30063.453212045682</v>
      </c>
      <c r="F81" s="12">
        <f t="shared" si="4"/>
        <v>26213.683469158874</v>
      </c>
      <c r="G81" s="12">
        <f t="shared" si="5"/>
        <v>18147.677674766353</v>
      </c>
      <c r="H81" s="12">
        <f t="shared" si="9"/>
        <v>0.84352876</v>
      </c>
      <c r="I81" s="12">
        <f t="shared" si="6"/>
        <v>0.8635287599999999</v>
      </c>
      <c r="J81" s="12">
        <f t="shared" si="7"/>
        <v>0.8685287599999999</v>
      </c>
      <c r="M81" s="1">
        <v>440</v>
      </c>
      <c r="N81" s="2">
        <f t="shared" si="8"/>
        <v>146.66666666666666</v>
      </c>
      <c r="O81" s="11">
        <f>PERCENTILE(K67:L67,PERCENTRANK(K66:L66,N81))</f>
        <v>14.7124</v>
      </c>
      <c r="P81" s="11">
        <f t="shared" si="10"/>
        <v>35604.008</v>
      </c>
    </row>
    <row r="82" spans="1:16" ht="12.75">
      <c r="A82" s="6"/>
      <c r="B82" s="7"/>
      <c r="C82" s="7"/>
      <c r="D82" s="7"/>
      <c r="E82" s="7"/>
      <c r="F82" s="7"/>
      <c r="G82" s="7"/>
      <c r="H82" s="17"/>
      <c r="I82" s="17"/>
      <c r="J82" s="17"/>
      <c r="M82" s="6"/>
      <c r="N82" s="7"/>
      <c r="O82" s="18"/>
      <c r="P82" s="18"/>
    </row>
    <row r="121" ht="20.25">
      <c r="A121" s="15">
        <v>3.3</v>
      </c>
    </row>
    <row r="123" spans="1:2" ht="12.75">
      <c r="A123" s="6" t="s">
        <v>38</v>
      </c>
      <c r="B123" s="6">
        <v>0.3</v>
      </c>
    </row>
    <row r="124" spans="1:2" ht="12.75">
      <c r="A124" s="6" t="s">
        <v>33</v>
      </c>
      <c r="B124" s="6">
        <v>10515</v>
      </c>
    </row>
    <row r="125" spans="1:2" ht="12.75">
      <c r="A125" s="6" t="s">
        <v>34</v>
      </c>
      <c r="B125" s="6">
        <v>70</v>
      </c>
    </row>
    <row r="126" spans="1:2" ht="12.75">
      <c r="A126" s="6" t="s">
        <v>35</v>
      </c>
      <c r="B126" s="6">
        <v>110</v>
      </c>
    </row>
    <row r="127" spans="1:2" ht="12.75">
      <c r="A127" s="6" t="s">
        <v>36</v>
      </c>
      <c r="B127" s="6">
        <v>9.81</v>
      </c>
    </row>
    <row r="128" spans="1:4" ht="12.75">
      <c r="A128" s="6" t="s">
        <v>32</v>
      </c>
      <c r="B128" s="7">
        <f>(2/3)*(((B124+B125*B126)*B127)/1000)</f>
        <v>119.12610000000001</v>
      </c>
      <c r="C128" t="s">
        <v>49</v>
      </c>
      <c r="D128" s="14">
        <f>(3/2)*B128</f>
        <v>178.68915</v>
      </c>
    </row>
    <row r="129" spans="1:2" ht="12.75">
      <c r="A129" s="26" t="s">
        <v>37</v>
      </c>
      <c r="B129" s="7">
        <f>1000*B128*B123</f>
        <v>35737.83</v>
      </c>
    </row>
    <row r="130" spans="1:2" ht="12.75">
      <c r="A130" s="6"/>
      <c r="B130" s="6"/>
    </row>
    <row r="131" spans="1:2" ht="12.75">
      <c r="A131" s="6" t="s">
        <v>39</v>
      </c>
      <c r="B131" s="7">
        <v>440</v>
      </c>
    </row>
    <row r="132" spans="1:2" ht="12.75">
      <c r="A132" s="6" t="s">
        <v>40</v>
      </c>
      <c r="B132" s="6">
        <f>2*Ih</f>
        <v>600</v>
      </c>
    </row>
    <row r="133" spans="1:2" ht="12.75">
      <c r="A133" s="26" t="s">
        <v>44</v>
      </c>
      <c r="B133" s="7">
        <f>B131</f>
        <v>440</v>
      </c>
    </row>
    <row r="134" spans="1:2" ht="12.75">
      <c r="A134" s="26" t="s">
        <v>41</v>
      </c>
      <c r="B134" s="6">
        <v>0.06</v>
      </c>
    </row>
    <row r="135" spans="1:5" ht="12.75">
      <c r="A135" s="26" t="s">
        <v>42</v>
      </c>
      <c r="B135" s="6">
        <v>1.05</v>
      </c>
      <c r="D135" t="s">
        <v>52</v>
      </c>
      <c r="E135" t="s">
        <v>53</v>
      </c>
    </row>
    <row r="136" spans="1:5" ht="12.75">
      <c r="A136" s="26" t="s">
        <v>43</v>
      </c>
      <c r="B136" s="7">
        <f>B133/((1+B134)*B135)</f>
        <v>395.3279424977537</v>
      </c>
      <c r="D136">
        <f>ROUND(B136*(1+B134),0)</f>
        <v>419</v>
      </c>
      <c r="E136">
        <f>ROUND(B136*(1-B134),0)</f>
        <v>372</v>
      </c>
    </row>
    <row r="138" spans="1:2" ht="12.75">
      <c r="A138" t="s">
        <v>45</v>
      </c>
      <c r="B138" s="14">
        <f>E81</f>
        <v>30063.453212045682</v>
      </c>
    </row>
    <row r="139" spans="1:2" ht="12.75">
      <c r="A139" t="s">
        <v>46</v>
      </c>
      <c r="B139" s="14">
        <f>B81</f>
        <v>17.213625</v>
      </c>
    </row>
    <row r="140" spans="1:3" ht="12.75">
      <c r="A140" t="s">
        <v>11</v>
      </c>
      <c r="B140" s="16">
        <f>12+0.004*B139^2</f>
        <v>13.1852355425625</v>
      </c>
      <c r="C140" t="s">
        <v>47</v>
      </c>
    </row>
    <row r="141" spans="1:2" ht="12.75">
      <c r="A141" t="s">
        <v>48</v>
      </c>
      <c r="B141" s="16">
        <f>(B138*1-B140*D128)/(102*1.15*D128)</f>
        <v>1.3219027194412971</v>
      </c>
    </row>
    <row r="142" spans="1:2" ht="12.75">
      <c r="A142" t="s">
        <v>52</v>
      </c>
      <c r="B142">
        <f>B136*(1+B134)</f>
        <v>419.047619047619</v>
      </c>
    </row>
    <row r="143" spans="1:2" ht="12.75">
      <c r="A143" t="s">
        <v>53</v>
      </c>
      <c r="B143">
        <f>B136*(1-B134)</f>
        <v>371.60826594788847</v>
      </c>
    </row>
    <row r="146" ht="12.75">
      <c r="A146">
        <v>4</v>
      </c>
    </row>
    <row r="147" ht="12.75">
      <c r="A147" t="s">
        <v>54</v>
      </c>
    </row>
    <row r="150" ht="12.75">
      <c r="B150" s="19"/>
    </row>
    <row r="151" spans="2:5" ht="12.75">
      <c r="B151" s="19"/>
      <c r="C151" s="19" t="s">
        <v>30</v>
      </c>
      <c r="D151" s="19" t="s">
        <v>29</v>
      </c>
      <c r="E151" s="19" t="s">
        <v>55</v>
      </c>
    </row>
    <row r="152" spans="2:5" ht="12.75">
      <c r="B152" s="19"/>
      <c r="C152" s="19">
        <f>E81</f>
        <v>30063.453212045682</v>
      </c>
      <c r="D152" s="19">
        <v>0</v>
      </c>
      <c r="E152" s="19">
        <f aca="true" t="shared" si="11" ref="E152:E174">$B$129</f>
        <v>35737.83</v>
      </c>
    </row>
    <row r="153" spans="2:5" ht="12.75">
      <c r="B153" s="19"/>
      <c r="C153" s="19">
        <f>E81</f>
        <v>30063.453212045682</v>
      </c>
      <c r="D153" s="19">
        <f>B81</f>
        <v>17.213625</v>
      </c>
      <c r="E153" s="19">
        <f t="shared" si="11"/>
        <v>35737.83</v>
      </c>
    </row>
    <row r="154" spans="2:5" ht="12.75">
      <c r="B154" s="19"/>
      <c r="C154" s="19">
        <f>E80</f>
        <v>26936.363571192956</v>
      </c>
      <c r="D154" s="19">
        <f>B80</f>
        <v>17.73525</v>
      </c>
      <c r="E154" s="19">
        <f t="shared" si="11"/>
        <v>35737.83</v>
      </c>
    </row>
    <row r="155" spans="2:5" ht="12.75">
      <c r="B155" s="19"/>
      <c r="C155" s="19">
        <f>E79</f>
        <v>23900.051481975963</v>
      </c>
      <c r="D155" s="19">
        <f>B79</f>
        <v>18.256875</v>
      </c>
      <c r="E155" s="19">
        <f t="shared" si="11"/>
        <v>35737.83</v>
      </c>
    </row>
    <row r="156" spans="2:5" ht="12.75">
      <c r="B156" s="19"/>
      <c r="C156" s="19">
        <f>E78</f>
        <v>21080.56285728719</v>
      </c>
      <c r="D156" s="19">
        <f>B78</f>
        <v>19.300125</v>
      </c>
      <c r="E156" s="19">
        <f t="shared" si="11"/>
        <v>35737.83</v>
      </c>
    </row>
    <row r="157" spans="2:5" ht="12.75">
      <c r="B157" s="19"/>
      <c r="C157" s="19">
        <f>E77</f>
        <v>17841.251174119338</v>
      </c>
      <c r="D157" s="19">
        <f>B77</f>
        <v>20.343375</v>
      </c>
      <c r="E157" s="19">
        <f t="shared" si="11"/>
        <v>35737.83</v>
      </c>
    </row>
    <row r="158" spans="2:5" ht="12.75">
      <c r="B158" s="19"/>
      <c r="C158" s="19">
        <f>E76</f>
        <v>14420.84701700628</v>
      </c>
      <c r="D158" s="19">
        <f>B76</f>
        <v>21.212750000000003</v>
      </c>
      <c r="E158" s="19">
        <f t="shared" si="11"/>
        <v>35737.83</v>
      </c>
    </row>
    <row r="159" spans="2:5" ht="12.75">
      <c r="B159" s="19"/>
      <c r="C159" s="19">
        <f>E75</f>
        <v>10992.407544500358</v>
      </c>
      <c r="D159" s="19">
        <f>B75</f>
        <v>22.60375</v>
      </c>
      <c r="E159" s="19">
        <f t="shared" si="11"/>
        <v>35737.83</v>
      </c>
    </row>
    <row r="160" spans="2:5" ht="12.75">
      <c r="B160" s="19"/>
      <c r="C160" s="19">
        <f>F79</f>
        <v>20803.387201255613</v>
      </c>
      <c r="D160" s="19">
        <f>C79</f>
        <v>22.777625</v>
      </c>
      <c r="E160" s="19">
        <f t="shared" si="11"/>
        <v>35737.83</v>
      </c>
    </row>
    <row r="161" spans="2:5" ht="12.75">
      <c r="B161" s="19"/>
      <c r="C161" s="19">
        <f>F78</f>
        <v>17950.327106623914</v>
      </c>
      <c r="D161" s="19">
        <f>C78</f>
        <v>23.820875</v>
      </c>
      <c r="E161" s="19">
        <f t="shared" si="11"/>
        <v>35737.83</v>
      </c>
    </row>
    <row r="162" spans="2:5" ht="12.75">
      <c r="B162" s="19"/>
      <c r="C162" s="19">
        <f>F77</f>
        <v>14952.187664126526</v>
      </c>
      <c r="D162" s="19">
        <f>C77</f>
        <v>24.864125</v>
      </c>
      <c r="E162" s="19">
        <f t="shared" si="11"/>
        <v>35737.83</v>
      </c>
    </row>
    <row r="163" spans="2:5" ht="12.75">
      <c r="B163" s="19"/>
      <c r="C163" s="19">
        <f>F76</f>
        <v>12067.19856448598</v>
      </c>
      <c r="D163" s="19">
        <f>C76</f>
        <v>26.08125</v>
      </c>
      <c r="E163" s="19">
        <f t="shared" si="11"/>
        <v>35737.83</v>
      </c>
    </row>
    <row r="164" spans="2:5" ht="12.75">
      <c r="B164" s="19"/>
      <c r="C164" s="19">
        <f>F75</f>
        <v>8768.714307476635</v>
      </c>
      <c r="D164" s="19">
        <f>C75</f>
        <v>27.819999999999997</v>
      </c>
      <c r="E164" s="19">
        <f t="shared" si="11"/>
        <v>35737.83</v>
      </c>
    </row>
    <row r="165" spans="2:5" ht="12.75">
      <c r="B165" s="19"/>
      <c r="C165" s="19">
        <f>F74</f>
        <v>5697.313876723473</v>
      </c>
      <c r="D165" s="19">
        <f>C74</f>
        <v>29.558750000000003</v>
      </c>
      <c r="E165" s="19">
        <f t="shared" si="11"/>
        <v>35737.83</v>
      </c>
    </row>
    <row r="166" spans="2:5" ht="12.75">
      <c r="B166" s="19"/>
      <c r="C166" s="19">
        <f>F73</f>
        <v>3329.5896943672633</v>
      </c>
      <c r="D166" s="19">
        <f>C73</f>
        <v>32.166875000000005</v>
      </c>
      <c r="E166" s="19">
        <f t="shared" si="11"/>
        <v>35737.83</v>
      </c>
    </row>
    <row r="167" spans="2:5" ht="12.75">
      <c r="B167" s="19"/>
      <c r="C167" s="19">
        <f>G80</f>
        <v>15813.293457943922</v>
      </c>
      <c r="D167" s="19">
        <f>D80</f>
        <v>33.210125000000005</v>
      </c>
      <c r="E167" s="19">
        <f t="shared" si="11"/>
        <v>35737.83</v>
      </c>
    </row>
    <row r="168" spans="2:5" ht="12.75">
      <c r="B168" s="19"/>
      <c r="C168" s="19">
        <f>G79</f>
        <v>13623.826991383632</v>
      </c>
      <c r="D168" s="19">
        <f>D79</f>
        <v>35.644375</v>
      </c>
      <c r="E168" s="19">
        <f t="shared" si="11"/>
        <v>35737.83</v>
      </c>
    </row>
    <row r="169" spans="2:5" ht="12.75">
      <c r="B169" s="19"/>
      <c r="C169" s="19">
        <f>G78</f>
        <v>11312.566841495323</v>
      </c>
      <c r="D169" s="19">
        <f>D78</f>
        <v>38.252500000000005</v>
      </c>
      <c r="E169" s="19">
        <f t="shared" si="11"/>
        <v>35737.83</v>
      </c>
    </row>
    <row r="170" spans="2:5" ht="12.75">
      <c r="B170" s="19"/>
      <c r="C170" s="19">
        <f>G77</f>
        <v>9130.422404774994</v>
      </c>
      <c r="D170" s="19">
        <f>D77</f>
        <v>41.382250000000006</v>
      </c>
      <c r="E170" s="19">
        <f t="shared" si="11"/>
        <v>35737.83</v>
      </c>
    </row>
    <row r="171" spans="3:5" ht="12.75">
      <c r="C171" s="19">
        <f>G76</f>
        <v>6801.0022180685355</v>
      </c>
      <c r="D171" s="19">
        <f>D76</f>
        <v>45.381375000000006</v>
      </c>
      <c r="E171" s="19">
        <f t="shared" si="11"/>
        <v>35737.83</v>
      </c>
    </row>
    <row r="172" spans="3:5" ht="12.75">
      <c r="C172" s="19">
        <f>G75</f>
        <v>4811.281601794392</v>
      </c>
      <c r="D172" s="19">
        <f>D75</f>
        <v>52.1625</v>
      </c>
      <c r="E172" s="19">
        <f t="shared" si="11"/>
        <v>35737.83</v>
      </c>
    </row>
    <row r="173" spans="3:5" ht="12.75">
      <c r="C173" s="19">
        <f>G74</f>
        <v>2913.537261275904</v>
      </c>
      <c r="D173" s="19">
        <f>D74</f>
        <v>59.986875</v>
      </c>
      <c r="E173" s="19">
        <f t="shared" si="11"/>
        <v>35737.83</v>
      </c>
    </row>
    <row r="174" spans="3:5" ht="12.75">
      <c r="C174" s="19">
        <f>G73</f>
        <v>1951.4018691588783</v>
      </c>
      <c r="D174" s="19">
        <f>D73</f>
        <v>69.55</v>
      </c>
      <c r="E174" s="19">
        <f t="shared" si="11"/>
        <v>35737.83</v>
      </c>
    </row>
    <row r="175" spans="3:5" ht="12.75">
      <c r="C175" s="19"/>
      <c r="E175" s="19"/>
    </row>
    <row r="178" spans="3:5" ht="12.75">
      <c r="C178" t="s">
        <v>30</v>
      </c>
      <c r="D178" s="19" t="s">
        <v>29</v>
      </c>
      <c r="E178" t="s">
        <v>56</v>
      </c>
    </row>
    <row r="179" spans="3:5" ht="12.75">
      <c r="C179">
        <v>440</v>
      </c>
      <c r="D179" s="19">
        <v>0</v>
      </c>
      <c r="E179" s="14">
        <f>$B$131</f>
        <v>440</v>
      </c>
    </row>
    <row r="180" spans="3:5" ht="12.75">
      <c r="C180">
        <f>A81</f>
        <v>440</v>
      </c>
      <c r="D180" s="19">
        <f aca="true" t="shared" si="12" ref="D180:D201">D153</f>
        <v>17.213625</v>
      </c>
      <c r="E180" s="14">
        <f aca="true" t="shared" si="13" ref="E180:E201">$B$131</f>
        <v>440</v>
      </c>
    </row>
    <row r="181" spans="3:5" ht="12.75">
      <c r="C181">
        <f>A80</f>
        <v>400</v>
      </c>
      <c r="D181" s="19">
        <f t="shared" si="12"/>
        <v>17.73525</v>
      </c>
      <c r="E181" s="14">
        <f t="shared" si="13"/>
        <v>440</v>
      </c>
    </row>
    <row r="182" spans="3:5" ht="12.75">
      <c r="C182">
        <f>A79</f>
        <v>360</v>
      </c>
      <c r="D182" s="19">
        <f t="shared" si="12"/>
        <v>18.256875</v>
      </c>
      <c r="E182" s="14">
        <f t="shared" si="13"/>
        <v>440</v>
      </c>
    </row>
    <row r="183" spans="3:5" ht="12.75">
      <c r="C183">
        <f>A78</f>
        <v>320</v>
      </c>
      <c r="D183" s="19">
        <f t="shared" si="12"/>
        <v>19.300125</v>
      </c>
      <c r="E183" s="14">
        <f t="shared" si="13"/>
        <v>440</v>
      </c>
    </row>
    <row r="184" spans="3:5" ht="12.75">
      <c r="C184">
        <f>A77</f>
        <v>280</v>
      </c>
      <c r="D184" s="19">
        <f t="shared" si="12"/>
        <v>20.343375</v>
      </c>
      <c r="E184" s="14">
        <f t="shared" si="13"/>
        <v>440</v>
      </c>
    </row>
    <row r="185" spans="3:5" ht="12.75">
      <c r="C185">
        <f>A76</f>
        <v>240</v>
      </c>
      <c r="D185" s="19">
        <f t="shared" si="12"/>
        <v>21.212750000000003</v>
      </c>
      <c r="E185" s="14">
        <f t="shared" si="13"/>
        <v>440</v>
      </c>
    </row>
    <row r="186" spans="3:5" ht="12.75">
      <c r="C186">
        <f>A75</f>
        <v>200</v>
      </c>
      <c r="D186" s="19">
        <f t="shared" si="12"/>
        <v>22.60375</v>
      </c>
      <c r="E186" s="14">
        <f t="shared" si="13"/>
        <v>440</v>
      </c>
    </row>
    <row r="187" spans="3:5" ht="12.75">
      <c r="C187">
        <f>A79</f>
        <v>360</v>
      </c>
      <c r="D187" s="19">
        <f t="shared" si="12"/>
        <v>22.777625</v>
      </c>
      <c r="E187" s="14">
        <f t="shared" si="13"/>
        <v>440</v>
      </c>
    </row>
    <row r="188" spans="3:5" ht="12.75">
      <c r="C188">
        <f>A78</f>
        <v>320</v>
      </c>
      <c r="D188" s="19">
        <f t="shared" si="12"/>
        <v>23.820875</v>
      </c>
      <c r="E188" s="14">
        <f t="shared" si="13"/>
        <v>440</v>
      </c>
    </row>
    <row r="189" spans="3:5" ht="12.75">
      <c r="C189">
        <f>A77</f>
        <v>280</v>
      </c>
      <c r="D189" s="19">
        <f t="shared" si="12"/>
        <v>24.864125</v>
      </c>
      <c r="E189" s="14">
        <f t="shared" si="13"/>
        <v>440</v>
      </c>
    </row>
    <row r="190" spans="3:5" ht="12.75">
      <c r="C190">
        <f>A76</f>
        <v>240</v>
      </c>
      <c r="D190" s="19">
        <f t="shared" si="12"/>
        <v>26.08125</v>
      </c>
      <c r="E190" s="14">
        <f t="shared" si="13"/>
        <v>440</v>
      </c>
    </row>
    <row r="191" spans="3:5" ht="12.75">
      <c r="C191">
        <f>A75</f>
        <v>200</v>
      </c>
      <c r="D191" s="19">
        <f t="shared" si="12"/>
        <v>27.819999999999997</v>
      </c>
      <c r="E191" s="14">
        <f t="shared" si="13"/>
        <v>440</v>
      </c>
    </row>
    <row r="192" spans="3:5" ht="12.75">
      <c r="C192">
        <f>A74</f>
        <v>160</v>
      </c>
      <c r="D192" s="19">
        <f t="shared" si="12"/>
        <v>29.558750000000003</v>
      </c>
      <c r="E192" s="14">
        <f t="shared" si="13"/>
        <v>440</v>
      </c>
    </row>
    <row r="193" spans="3:5" ht="12.75">
      <c r="C193">
        <f>A73</f>
        <v>120</v>
      </c>
      <c r="D193" s="19">
        <f t="shared" si="12"/>
        <v>32.166875000000005</v>
      </c>
      <c r="E193" s="14">
        <f t="shared" si="13"/>
        <v>440</v>
      </c>
    </row>
    <row r="194" spans="3:5" ht="12.75">
      <c r="C194">
        <f>A80</f>
        <v>400</v>
      </c>
      <c r="D194" s="19">
        <f t="shared" si="12"/>
        <v>33.210125000000005</v>
      </c>
      <c r="E194" s="14">
        <f t="shared" si="13"/>
        <v>440</v>
      </c>
    </row>
    <row r="195" spans="3:5" ht="12.75">
      <c r="C195">
        <f>A79</f>
        <v>360</v>
      </c>
      <c r="D195" s="19">
        <f t="shared" si="12"/>
        <v>35.644375</v>
      </c>
      <c r="E195" s="14">
        <f t="shared" si="13"/>
        <v>440</v>
      </c>
    </row>
    <row r="196" spans="3:5" ht="12.75">
      <c r="C196">
        <f>A78</f>
        <v>320</v>
      </c>
      <c r="D196" s="19">
        <f t="shared" si="12"/>
        <v>38.252500000000005</v>
      </c>
      <c r="E196" s="14">
        <f t="shared" si="13"/>
        <v>440</v>
      </c>
    </row>
    <row r="197" spans="3:5" ht="12.75">
      <c r="C197">
        <f>A77</f>
        <v>280</v>
      </c>
      <c r="D197" s="19">
        <f t="shared" si="12"/>
        <v>41.382250000000006</v>
      </c>
      <c r="E197" s="14">
        <f t="shared" si="13"/>
        <v>440</v>
      </c>
    </row>
    <row r="198" spans="3:5" ht="12.75">
      <c r="C198">
        <f>A76</f>
        <v>240</v>
      </c>
      <c r="D198" s="19">
        <f t="shared" si="12"/>
        <v>45.381375000000006</v>
      </c>
      <c r="E198" s="14">
        <f t="shared" si="13"/>
        <v>440</v>
      </c>
    </row>
    <row r="199" spans="3:5" ht="12.75">
      <c r="C199">
        <f>A75</f>
        <v>200</v>
      </c>
      <c r="D199" s="19">
        <f t="shared" si="12"/>
        <v>52.1625</v>
      </c>
      <c r="E199" s="14">
        <f t="shared" si="13"/>
        <v>440</v>
      </c>
    </row>
    <row r="200" spans="3:5" ht="12.75">
      <c r="C200">
        <f>A74</f>
        <v>160</v>
      </c>
      <c r="D200" s="19">
        <f t="shared" si="12"/>
        <v>59.986875</v>
      </c>
      <c r="E200" s="14">
        <f t="shared" si="13"/>
        <v>440</v>
      </c>
    </row>
    <row r="201" spans="3:5" ht="12.75">
      <c r="C201">
        <f>A73</f>
        <v>120</v>
      </c>
      <c r="D201" s="19">
        <f t="shared" si="12"/>
        <v>69.55</v>
      </c>
      <c r="E201" s="14">
        <f t="shared" si="13"/>
        <v>440</v>
      </c>
    </row>
    <row r="202" ht="12.75">
      <c r="D202" s="19"/>
    </row>
    <row r="203" ht="12.75">
      <c r="D203" s="19"/>
    </row>
    <row r="204" ht="12.75">
      <c r="D204" s="19"/>
    </row>
    <row r="206" ht="12.75">
      <c r="A206" t="s">
        <v>57</v>
      </c>
    </row>
    <row r="209" spans="1:2" ht="12.75">
      <c r="A209" t="s">
        <v>60</v>
      </c>
      <c r="B209">
        <f>0.8*1000*B210*B211</f>
        <v>28590.264</v>
      </c>
    </row>
    <row r="210" spans="1:2" ht="12.75">
      <c r="A210" t="s">
        <v>58</v>
      </c>
      <c r="B210" s="14">
        <f>B128</f>
        <v>119.12610000000001</v>
      </c>
    </row>
    <row r="211" spans="1:2" ht="12.75">
      <c r="A211" s="20" t="s">
        <v>38</v>
      </c>
      <c r="B211">
        <f>B123</f>
        <v>0.3</v>
      </c>
    </row>
    <row r="212" spans="1:2" ht="12.75">
      <c r="A212" t="s">
        <v>59</v>
      </c>
      <c r="B212" s="14">
        <f>D128</f>
        <v>178.68915</v>
      </c>
    </row>
    <row r="213" spans="1:2" ht="12.75">
      <c r="A213" t="s">
        <v>61</v>
      </c>
      <c r="B213">
        <f>0.8*1000*B212*B211</f>
        <v>42885.396</v>
      </c>
    </row>
    <row r="214" spans="1:3" ht="12.75">
      <c r="A214" s="21" t="s">
        <v>62</v>
      </c>
      <c r="B214">
        <f>(B209+B140*B212)/(102*1.15*B212)</f>
        <v>1.4764299705248292</v>
      </c>
      <c r="C214" t="s">
        <v>63</v>
      </c>
    </row>
    <row r="215" spans="1:3" ht="12.75">
      <c r="A215" t="s">
        <v>64</v>
      </c>
      <c r="B215">
        <f>(B213+B140*B212)/(102*1.15*B212)</f>
        <v>2.1584419057336954</v>
      </c>
      <c r="C215" t="s">
        <v>65</v>
      </c>
    </row>
    <row r="216" spans="1:2" ht="12.75">
      <c r="A216" t="s">
        <v>66</v>
      </c>
      <c r="B216">
        <f>0.6*B209</f>
        <v>17154.1584</v>
      </c>
    </row>
    <row r="217" spans="1:2" ht="12.75">
      <c r="A217" t="s">
        <v>67</v>
      </c>
      <c r="B217">
        <f>0.6*B213</f>
        <v>25731.2376</v>
      </c>
    </row>
    <row r="220" spans="1:12" ht="12.75">
      <c r="A220" t="s">
        <v>68</v>
      </c>
      <c r="L220">
        <f>5.78</f>
        <v>5.78</v>
      </c>
    </row>
    <row r="222" spans="1:9" ht="12.75">
      <c r="A222" s="38" t="s">
        <v>69</v>
      </c>
      <c r="B222" s="31" t="s">
        <v>70</v>
      </c>
      <c r="C222" s="31"/>
      <c r="D222" s="31"/>
      <c r="E222" s="31"/>
      <c r="F222" s="31"/>
      <c r="G222" s="31"/>
      <c r="H222" s="31"/>
      <c r="I222" s="31"/>
    </row>
    <row r="223" spans="1:10" ht="12.75">
      <c r="A223" s="38"/>
      <c r="B223" s="6" t="s">
        <v>71</v>
      </c>
      <c r="C223" s="6" t="s">
        <v>72</v>
      </c>
      <c r="D223" s="6" t="s">
        <v>73</v>
      </c>
      <c r="E223" s="6" t="s">
        <v>74</v>
      </c>
      <c r="F223" s="6" t="s">
        <v>75</v>
      </c>
      <c r="G223" s="6" t="s">
        <v>76</v>
      </c>
      <c r="H223" s="6" t="s">
        <v>77</v>
      </c>
      <c r="I223" s="6" t="s">
        <v>78</v>
      </c>
      <c r="J223" s="29" t="s">
        <v>99</v>
      </c>
    </row>
    <row r="224" spans="1:10" ht="12.75">
      <c r="A224" s="19">
        <f>D201</f>
        <v>69.55</v>
      </c>
      <c r="B224" s="19">
        <f>C174/$D$128</f>
        <v>10.920651137234007</v>
      </c>
      <c r="C224" s="19">
        <f>-(12+0.004*A224^2)</f>
        <v>-31.348809999999997</v>
      </c>
      <c r="D224" s="19">
        <f>-(16+0.004*A224^2)</f>
        <v>-35.34881</v>
      </c>
      <c r="E224">
        <f>-($B$217/$B$212)</f>
        <v>-144</v>
      </c>
      <c r="F224">
        <f>-($B$213/$B$212)</f>
        <v>-240</v>
      </c>
      <c r="G224" s="19">
        <f>B224+C224</f>
        <v>-20.42815886276599</v>
      </c>
      <c r="H224" s="19">
        <f>E224+D224</f>
        <v>-179.34881000000001</v>
      </c>
      <c r="I224" s="19">
        <f>F224+D224</f>
        <v>-275.34881</v>
      </c>
      <c r="J224">
        <v>-20.49</v>
      </c>
    </row>
    <row r="225" spans="1:10" ht="12.75">
      <c r="A225" s="19">
        <f>D200</f>
        <v>59.986875</v>
      </c>
      <c r="B225" s="19">
        <f>C173/$D$128</f>
        <v>16.305059715578164</v>
      </c>
      <c r="C225" s="19">
        <f aca="true" t="shared" si="14" ref="C225:C246">-(12+0.004*A225^2)</f>
        <v>-26.3937006890625</v>
      </c>
      <c r="D225" s="19">
        <f aca="true" t="shared" si="15" ref="D225:D246">-(16+0.004*A225^2)</f>
        <v>-30.3937006890625</v>
      </c>
      <c r="E225">
        <f aca="true" t="shared" si="16" ref="E225:E246">-($B$217/$B$212)</f>
        <v>-144</v>
      </c>
      <c r="F225">
        <f aca="true" t="shared" si="17" ref="F225:F246">-($B$213/$B$212)</f>
        <v>-240</v>
      </c>
      <c r="G225" s="19">
        <f aca="true" t="shared" si="18" ref="G225:G245">B225+C225</f>
        <v>-10.088640973484335</v>
      </c>
      <c r="H225" s="19">
        <f>E225+D225</f>
        <v>-174.39370068906248</v>
      </c>
      <c r="I225" s="19">
        <f aca="true" t="shared" si="19" ref="I225:I245">F225+D225</f>
        <v>-270.3937006890625</v>
      </c>
      <c r="J225">
        <v>-10.09</v>
      </c>
    </row>
    <row r="226" spans="1:10" ht="12.75">
      <c r="A226" s="19">
        <f>D199</f>
        <v>52.1625</v>
      </c>
      <c r="B226" s="19">
        <f>C172/$D$128</f>
        <v>26.925426651782676</v>
      </c>
      <c r="C226" s="19">
        <f t="shared" si="14"/>
        <v>-22.883705625</v>
      </c>
      <c r="D226" s="19">
        <f t="shared" si="15"/>
        <v>-26.883705625</v>
      </c>
      <c r="E226">
        <f t="shared" si="16"/>
        <v>-144</v>
      </c>
      <c r="F226">
        <f t="shared" si="17"/>
        <v>-240</v>
      </c>
      <c r="G226" s="19">
        <f t="shared" si="18"/>
        <v>4.041721026782675</v>
      </c>
      <c r="H226" s="19">
        <f>(E226+D226)</f>
        <v>-170.883705625</v>
      </c>
      <c r="I226" s="19">
        <f t="shared" si="19"/>
        <v>-266.883705625</v>
      </c>
      <c r="J226">
        <v>4.04</v>
      </c>
    </row>
    <row r="227" spans="1:10" ht="12.75">
      <c r="A227" s="19">
        <f>D198</f>
        <v>45.381375000000006</v>
      </c>
      <c r="B227" s="19">
        <f>C171/$D$128</f>
        <v>38.06052140305405</v>
      </c>
      <c r="C227" s="19">
        <f t="shared" si="14"/>
        <v>-20.237876787562502</v>
      </c>
      <c r="D227" s="19">
        <f t="shared" si="15"/>
        <v>-24.237876787562502</v>
      </c>
      <c r="E227">
        <f t="shared" si="16"/>
        <v>-144</v>
      </c>
      <c r="F227">
        <f t="shared" si="17"/>
        <v>-240</v>
      </c>
      <c r="G227" s="19">
        <f t="shared" si="18"/>
        <v>17.822644615491544</v>
      </c>
      <c r="H227" s="19">
        <f aca="true" t="shared" si="20" ref="H227:H246">(E227+D227)</f>
        <v>-168.2378767875625</v>
      </c>
      <c r="I227" s="19">
        <f t="shared" si="19"/>
        <v>-264.2378767875625</v>
      </c>
      <c r="J227">
        <v>17.82</v>
      </c>
    </row>
    <row r="228" spans="1:10" ht="12.75">
      <c r="A228" s="19">
        <f>D197</f>
        <v>41.382250000000006</v>
      </c>
      <c r="B228" s="19">
        <f>C170/$D$128</f>
        <v>51.09668049109302</v>
      </c>
      <c r="C228" s="19">
        <f t="shared" si="14"/>
        <v>-18.84996246025</v>
      </c>
      <c r="D228" s="19">
        <f t="shared" si="15"/>
        <v>-22.84996246025</v>
      </c>
      <c r="E228">
        <f t="shared" si="16"/>
        <v>-144</v>
      </c>
      <c r="F228">
        <f t="shared" si="17"/>
        <v>-240</v>
      </c>
      <c r="G228" s="19">
        <f t="shared" si="18"/>
        <v>32.24671803084301</v>
      </c>
      <c r="H228" s="19">
        <f t="shared" si="20"/>
        <v>-166.84996246025</v>
      </c>
      <c r="I228" s="19">
        <f t="shared" si="19"/>
        <v>-262.84996246025</v>
      </c>
      <c r="J228">
        <f>J227+$L$220</f>
        <v>23.6</v>
      </c>
    </row>
    <row r="229" spans="1:10" ht="12.75">
      <c r="A229" s="19">
        <f>D196</f>
        <v>38.252500000000005</v>
      </c>
      <c r="B229" s="19">
        <f>C169/$D$128</f>
        <v>63.30863872538049</v>
      </c>
      <c r="C229" s="19">
        <f t="shared" si="14"/>
        <v>-17.853015025</v>
      </c>
      <c r="D229" s="19">
        <f t="shared" si="15"/>
        <v>-21.853015025</v>
      </c>
      <c r="E229">
        <f t="shared" si="16"/>
        <v>-144</v>
      </c>
      <c r="F229">
        <f t="shared" si="17"/>
        <v>-240</v>
      </c>
      <c r="G229" s="19">
        <f t="shared" si="18"/>
        <v>45.455623700380485</v>
      </c>
      <c r="H229" s="19">
        <f t="shared" si="20"/>
        <v>-165.853015025</v>
      </c>
      <c r="I229" s="19">
        <f t="shared" si="19"/>
        <v>-261.853015025</v>
      </c>
      <c r="J229">
        <f aca="true" t="shared" si="21" ref="J229:J241">J228+$L$220</f>
        <v>29.380000000000003</v>
      </c>
    </row>
    <row r="230" spans="1:10" ht="12.75">
      <c r="A230" s="19">
        <f>D195</f>
        <v>35.644375</v>
      </c>
      <c r="B230" s="19">
        <f>C168/$D$128</f>
        <v>76.24316860527699</v>
      </c>
      <c r="C230" s="19">
        <f t="shared" si="14"/>
        <v>-17.0820858765625</v>
      </c>
      <c r="D230" s="19">
        <f t="shared" si="15"/>
        <v>-21.0820858765625</v>
      </c>
      <c r="E230">
        <f t="shared" si="16"/>
        <v>-144</v>
      </c>
      <c r="F230">
        <f t="shared" si="17"/>
        <v>-240</v>
      </c>
      <c r="G230" s="19">
        <f t="shared" si="18"/>
        <v>59.16108272871449</v>
      </c>
      <c r="H230" s="19">
        <f t="shared" si="20"/>
        <v>-165.0820858765625</v>
      </c>
      <c r="I230" s="19">
        <f t="shared" si="19"/>
        <v>-261.0820858765625</v>
      </c>
      <c r="J230">
        <f t="shared" si="21"/>
        <v>35.160000000000004</v>
      </c>
    </row>
    <row r="231" spans="1:10" ht="12.75">
      <c r="A231" s="19">
        <f>D194</f>
        <v>33.210125000000005</v>
      </c>
      <c r="B231" s="19">
        <f>C167/$D$128</f>
        <v>88.49610319341673</v>
      </c>
      <c r="C231" s="19">
        <f t="shared" si="14"/>
        <v>-16.4116496100625</v>
      </c>
      <c r="D231" s="19">
        <f t="shared" si="15"/>
        <v>-20.4116496100625</v>
      </c>
      <c r="E231">
        <f t="shared" si="16"/>
        <v>-144</v>
      </c>
      <c r="F231">
        <f t="shared" si="17"/>
        <v>-240</v>
      </c>
      <c r="G231" s="19">
        <f t="shared" si="18"/>
        <v>72.08445358335423</v>
      </c>
      <c r="H231" s="19">
        <f t="shared" si="20"/>
        <v>-164.4116496100625</v>
      </c>
      <c r="I231" s="19">
        <f t="shared" si="19"/>
        <v>-260.4116496100625</v>
      </c>
      <c r="J231">
        <f t="shared" si="21"/>
        <v>40.940000000000005</v>
      </c>
    </row>
    <row r="232" spans="1:10" ht="12.75">
      <c r="A232" s="19">
        <f>D193</f>
        <v>32.166875000000005</v>
      </c>
      <c r="B232" s="19">
        <f>C166/$D$128</f>
        <v>18.633418393714802</v>
      </c>
      <c r="C232" s="19">
        <f t="shared" si="14"/>
        <v>-16.138831389062503</v>
      </c>
      <c r="D232" s="19">
        <f t="shared" si="15"/>
        <v>-20.138831389062503</v>
      </c>
      <c r="E232">
        <f t="shared" si="16"/>
        <v>-144</v>
      </c>
      <c r="F232">
        <f t="shared" si="17"/>
        <v>-240</v>
      </c>
      <c r="G232" s="19">
        <f t="shared" si="18"/>
        <v>2.494587004652299</v>
      </c>
      <c r="H232" s="19">
        <f t="shared" si="20"/>
        <v>-164.1388313890625</v>
      </c>
      <c r="I232" s="19">
        <f t="shared" si="19"/>
        <v>-260.1388313890625</v>
      </c>
      <c r="J232">
        <f t="shared" si="21"/>
        <v>46.720000000000006</v>
      </c>
    </row>
    <row r="233" spans="1:10" ht="12.75">
      <c r="A233" s="19">
        <f>D192</f>
        <v>29.558750000000003</v>
      </c>
      <c r="B233" s="19">
        <f>C165/$D$128</f>
        <v>31.883938542007016</v>
      </c>
      <c r="C233" s="19">
        <f t="shared" si="14"/>
        <v>-15.49487880625</v>
      </c>
      <c r="D233" s="19">
        <f t="shared" si="15"/>
        <v>-19.49487880625</v>
      </c>
      <c r="E233">
        <f t="shared" si="16"/>
        <v>-144</v>
      </c>
      <c r="F233">
        <f t="shared" si="17"/>
        <v>-240</v>
      </c>
      <c r="G233" s="19">
        <f t="shared" si="18"/>
        <v>16.389059735757016</v>
      </c>
      <c r="H233" s="19">
        <f t="shared" si="20"/>
        <v>-163.49487880625</v>
      </c>
      <c r="I233" s="19">
        <f t="shared" si="19"/>
        <v>-259.49487880625</v>
      </c>
      <c r="J233">
        <f t="shared" si="21"/>
        <v>52.50000000000001</v>
      </c>
    </row>
    <row r="234" spans="1:10" ht="12.75">
      <c r="A234" s="19">
        <f>D191</f>
        <v>27.819999999999997</v>
      </c>
      <c r="B234" s="19">
        <f>C164/$D$128</f>
        <v>49.07244960019472</v>
      </c>
      <c r="C234" s="19">
        <f t="shared" si="14"/>
        <v>-15.095809599999999</v>
      </c>
      <c r="D234" s="19">
        <f t="shared" si="15"/>
        <v>-19.0958096</v>
      </c>
      <c r="E234">
        <f t="shared" si="16"/>
        <v>-144</v>
      </c>
      <c r="F234">
        <f t="shared" si="17"/>
        <v>-240</v>
      </c>
      <c r="G234" s="19">
        <f t="shared" si="18"/>
        <v>33.97664000019472</v>
      </c>
      <c r="H234" s="19">
        <f t="shared" si="20"/>
        <v>-163.0958096</v>
      </c>
      <c r="I234" s="19">
        <f t="shared" si="19"/>
        <v>-259.0958096</v>
      </c>
      <c r="J234">
        <f t="shared" si="21"/>
        <v>58.28000000000001</v>
      </c>
    </row>
    <row r="235" spans="1:10" ht="12.75">
      <c r="A235" s="19">
        <f>D190</f>
        <v>26.08125</v>
      </c>
      <c r="B235" s="19">
        <f>C163/$D$128</f>
        <v>67.53179230236407</v>
      </c>
      <c r="C235" s="19">
        <f t="shared" si="14"/>
        <v>-14.720926406250001</v>
      </c>
      <c r="D235" s="19">
        <f t="shared" si="15"/>
        <v>-18.72092640625</v>
      </c>
      <c r="E235">
        <f t="shared" si="16"/>
        <v>-144</v>
      </c>
      <c r="F235">
        <f t="shared" si="17"/>
        <v>-240</v>
      </c>
      <c r="G235" s="19">
        <f t="shared" si="18"/>
        <v>52.810865896114066</v>
      </c>
      <c r="H235" s="19">
        <f t="shared" si="20"/>
        <v>-162.72092640625</v>
      </c>
      <c r="I235" s="19">
        <f t="shared" si="19"/>
        <v>-258.72092640625</v>
      </c>
      <c r="J235">
        <f t="shared" si="21"/>
        <v>64.06</v>
      </c>
    </row>
    <row r="236" spans="1:10" ht="12.75">
      <c r="A236" s="19">
        <f>D189</f>
        <v>24.864125</v>
      </c>
      <c r="B236" s="19">
        <f>C162/$D$128</f>
        <v>83.67708763585549</v>
      </c>
      <c r="C236" s="19">
        <f t="shared" si="14"/>
        <v>-14.472898848062501</v>
      </c>
      <c r="D236" s="19">
        <f t="shared" si="15"/>
        <v>-18.4728988480625</v>
      </c>
      <c r="E236">
        <f t="shared" si="16"/>
        <v>-144</v>
      </c>
      <c r="F236">
        <f t="shared" si="17"/>
        <v>-240</v>
      </c>
      <c r="G236" s="19">
        <f t="shared" si="18"/>
        <v>69.20418878779299</v>
      </c>
      <c r="H236" s="19">
        <f t="shared" si="20"/>
        <v>-162.4728988480625</v>
      </c>
      <c r="I236" s="19">
        <f t="shared" si="19"/>
        <v>-258.4728988480625</v>
      </c>
      <c r="J236">
        <f t="shared" si="21"/>
        <v>69.84</v>
      </c>
    </row>
    <row r="237" spans="1:10" ht="12.75">
      <c r="A237" s="19">
        <f>D188</f>
        <v>23.820875</v>
      </c>
      <c r="B237" s="19">
        <f>C161/$D$128</f>
        <v>100.45560744244355</v>
      </c>
      <c r="C237" s="19">
        <f t="shared" si="14"/>
        <v>-14.269736343062501</v>
      </c>
      <c r="D237" s="19">
        <f t="shared" si="15"/>
        <v>-18.2697363430625</v>
      </c>
      <c r="E237">
        <f t="shared" si="16"/>
        <v>-144</v>
      </c>
      <c r="F237">
        <f t="shared" si="17"/>
        <v>-240</v>
      </c>
      <c r="G237" s="19">
        <f t="shared" si="18"/>
        <v>86.18587109938105</v>
      </c>
      <c r="H237" s="19">
        <f t="shared" si="20"/>
        <v>-162.2697363430625</v>
      </c>
      <c r="I237" s="19">
        <f t="shared" si="19"/>
        <v>-258.2697363430625</v>
      </c>
      <c r="J237">
        <f t="shared" si="21"/>
        <v>75.62</v>
      </c>
    </row>
    <row r="238" spans="1:10" ht="12.75">
      <c r="A238" s="19">
        <f>D187</f>
        <v>22.777625</v>
      </c>
      <c r="B238" s="19">
        <f>C160/$D$128</f>
        <v>116.42221814394222</v>
      </c>
      <c r="C238" s="19">
        <f t="shared" si="14"/>
        <v>-14.0752808025625</v>
      </c>
      <c r="D238" s="19">
        <f t="shared" si="15"/>
        <v>-18.0752808025625</v>
      </c>
      <c r="E238">
        <f t="shared" si="16"/>
        <v>-144</v>
      </c>
      <c r="F238">
        <f t="shared" si="17"/>
        <v>-240</v>
      </c>
      <c r="G238" s="19">
        <f t="shared" si="18"/>
        <v>102.34693734137971</v>
      </c>
      <c r="H238" s="19">
        <f t="shared" si="20"/>
        <v>-162.0752808025625</v>
      </c>
      <c r="I238" s="19">
        <f t="shared" si="19"/>
        <v>-258.0752808025625</v>
      </c>
      <c r="J238">
        <f t="shared" si="21"/>
        <v>81.4</v>
      </c>
    </row>
    <row r="239" spans="1:10" ht="12.75">
      <c r="A239" s="19">
        <f>D186</f>
        <v>22.60375</v>
      </c>
      <c r="B239" s="19">
        <f>C159/$D$128</f>
        <v>61.51692782969955</v>
      </c>
      <c r="C239" s="19">
        <f t="shared" si="14"/>
        <v>-14.04371805625</v>
      </c>
      <c r="D239" s="19">
        <f t="shared" si="15"/>
        <v>-18.04371805625</v>
      </c>
      <c r="E239">
        <f t="shared" si="16"/>
        <v>-144</v>
      </c>
      <c r="F239">
        <f t="shared" si="17"/>
        <v>-240</v>
      </c>
      <c r="G239" s="19">
        <f t="shared" si="18"/>
        <v>47.47320977344955</v>
      </c>
      <c r="H239" s="19">
        <f t="shared" si="20"/>
        <v>-162.04371805625</v>
      </c>
      <c r="I239" s="19">
        <f t="shared" si="19"/>
        <v>-258.04371805625</v>
      </c>
      <c r="J239">
        <f t="shared" si="21"/>
        <v>87.18</v>
      </c>
    </row>
    <row r="240" spans="1:10" ht="12.75">
      <c r="A240" s="19">
        <f>D185</f>
        <v>21.212750000000003</v>
      </c>
      <c r="B240" s="19">
        <f>C158/$D$128</f>
        <v>80.70354029333218</v>
      </c>
      <c r="C240" s="19">
        <f t="shared" si="14"/>
        <v>-13.799923050250001</v>
      </c>
      <c r="D240" s="19">
        <f t="shared" si="15"/>
        <v>-17.79992305025</v>
      </c>
      <c r="E240">
        <f t="shared" si="16"/>
        <v>-144</v>
      </c>
      <c r="F240">
        <f t="shared" si="17"/>
        <v>-240</v>
      </c>
      <c r="G240" s="19">
        <f t="shared" si="18"/>
        <v>66.90361724308218</v>
      </c>
      <c r="H240" s="19">
        <f t="shared" si="20"/>
        <v>-161.79992305025002</v>
      </c>
      <c r="I240" s="19">
        <f t="shared" si="19"/>
        <v>-257.79992305025</v>
      </c>
      <c r="J240">
        <f t="shared" si="21"/>
        <v>92.96000000000001</v>
      </c>
    </row>
    <row r="241" spans="1:10" ht="12.75">
      <c r="A241" s="19">
        <f>D184</f>
        <v>20.343375</v>
      </c>
      <c r="B241" s="19">
        <f>C157/$D$128</f>
        <v>99.84518463554915</v>
      </c>
      <c r="C241" s="19">
        <f t="shared" si="14"/>
        <v>-13.6554116255625</v>
      </c>
      <c r="D241" s="19">
        <f t="shared" si="15"/>
        <v>-17.6554116255625</v>
      </c>
      <c r="E241">
        <f t="shared" si="16"/>
        <v>-144</v>
      </c>
      <c r="F241">
        <f t="shared" si="17"/>
        <v>-240</v>
      </c>
      <c r="G241" s="19">
        <f t="shared" si="18"/>
        <v>86.18977300998665</v>
      </c>
      <c r="H241" s="19">
        <f t="shared" si="20"/>
        <v>-161.6554116255625</v>
      </c>
      <c r="I241" s="19">
        <f t="shared" si="19"/>
        <v>-257.6554116255625</v>
      </c>
      <c r="J241">
        <f t="shared" si="21"/>
        <v>98.74000000000001</v>
      </c>
    </row>
    <row r="242" spans="1:10" ht="12.75">
      <c r="A242" s="19">
        <f>D183</f>
        <v>19.300125</v>
      </c>
      <c r="B242" s="19">
        <f>C156/$D$128</f>
        <v>117.97337923028448</v>
      </c>
      <c r="C242" s="19">
        <f t="shared" si="14"/>
        <v>-13.489979300062501</v>
      </c>
      <c r="D242" s="19">
        <f t="shared" si="15"/>
        <v>-17.4899793000625</v>
      </c>
      <c r="E242">
        <f t="shared" si="16"/>
        <v>-144</v>
      </c>
      <c r="F242">
        <f t="shared" si="17"/>
        <v>-240</v>
      </c>
      <c r="G242" s="19">
        <f t="shared" si="18"/>
        <v>104.48339993022198</v>
      </c>
      <c r="H242" s="19">
        <f t="shared" si="20"/>
        <v>-161.4899793000625</v>
      </c>
      <c r="I242" s="19">
        <f t="shared" si="19"/>
        <v>-257.4899793000625</v>
      </c>
      <c r="J242">
        <v>104.48</v>
      </c>
    </row>
    <row r="243" spans="1:10" ht="12.75">
      <c r="A243" s="19">
        <f>D182</f>
        <v>18.256875</v>
      </c>
      <c r="B243" s="19">
        <f>C155/$D$128</f>
        <v>133.75211355572492</v>
      </c>
      <c r="C243" s="19">
        <f t="shared" si="14"/>
        <v>-13.3332539390625</v>
      </c>
      <c r="D243" s="19">
        <f t="shared" si="15"/>
        <v>-17.3332539390625</v>
      </c>
      <c r="E243">
        <f t="shared" si="16"/>
        <v>-144</v>
      </c>
      <c r="F243">
        <f t="shared" si="17"/>
        <v>-240</v>
      </c>
      <c r="G243" s="19">
        <f t="shared" si="18"/>
        <v>120.41885961666242</v>
      </c>
      <c r="H243" s="19">
        <f t="shared" si="20"/>
        <v>-161.3332539390625</v>
      </c>
      <c r="I243" s="19">
        <f t="shared" si="19"/>
        <v>-257.3332539390625</v>
      </c>
      <c r="J243">
        <v>120.42</v>
      </c>
    </row>
    <row r="244" spans="1:10" ht="12.75">
      <c r="A244" s="19">
        <f>D181</f>
        <v>17.73525</v>
      </c>
      <c r="B244" s="19">
        <f>C154/$D$128</f>
        <v>150.74425935314457</v>
      </c>
      <c r="C244" s="19">
        <f t="shared" si="14"/>
        <v>-13.25815637025</v>
      </c>
      <c r="D244" s="19">
        <f t="shared" si="15"/>
        <v>-17.25815637025</v>
      </c>
      <c r="E244">
        <f t="shared" si="16"/>
        <v>-144</v>
      </c>
      <c r="F244">
        <f t="shared" si="17"/>
        <v>-240</v>
      </c>
      <c r="G244" s="19">
        <f t="shared" si="18"/>
        <v>137.48610298289458</v>
      </c>
      <c r="H244" s="19">
        <f t="shared" si="20"/>
        <v>-161.25815637025</v>
      </c>
      <c r="I244" s="19">
        <f t="shared" si="19"/>
        <v>-257.25815637025</v>
      </c>
      <c r="J244">
        <v>137.49</v>
      </c>
    </row>
    <row r="245" spans="1:10" ht="12.75">
      <c r="A245" s="19">
        <f>D180</f>
        <v>17.213625</v>
      </c>
      <c r="B245" s="19">
        <f>C153/$D$128</f>
        <v>168.24442453302666</v>
      </c>
      <c r="C245" s="19">
        <f t="shared" si="14"/>
        <v>-13.1852355425625</v>
      </c>
      <c r="D245" s="19">
        <f t="shared" si="15"/>
        <v>-17.1852355425625</v>
      </c>
      <c r="E245">
        <f t="shared" si="16"/>
        <v>-144</v>
      </c>
      <c r="F245">
        <f t="shared" si="17"/>
        <v>-240</v>
      </c>
      <c r="G245" s="19">
        <f t="shared" si="18"/>
        <v>155.05918899046415</v>
      </c>
      <c r="H245" s="19">
        <f t="shared" si="20"/>
        <v>-161.1852355425625</v>
      </c>
      <c r="I245" s="19">
        <f t="shared" si="19"/>
        <v>-257.1852355425625</v>
      </c>
      <c r="J245">
        <v>155.06</v>
      </c>
    </row>
    <row r="246" spans="1:10" ht="12.75">
      <c r="A246" s="23">
        <f>D179</f>
        <v>0</v>
      </c>
      <c r="B246" s="19">
        <f>C152/$D$128</f>
        <v>168.24442453302666</v>
      </c>
      <c r="C246" s="19">
        <f t="shared" si="14"/>
        <v>-12</v>
      </c>
      <c r="D246" s="19">
        <f t="shared" si="15"/>
        <v>-16</v>
      </c>
      <c r="E246">
        <f t="shared" si="16"/>
        <v>-144</v>
      </c>
      <c r="F246">
        <f t="shared" si="17"/>
        <v>-240</v>
      </c>
      <c r="G246" s="19">
        <v>155.06</v>
      </c>
      <c r="H246" s="19">
        <f t="shared" si="20"/>
        <v>-160</v>
      </c>
      <c r="I246" s="19">
        <f>F246+D246</f>
        <v>-256</v>
      </c>
      <c r="J246">
        <v>155.06</v>
      </c>
    </row>
    <row r="247" ht="12.75">
      <c r="A247" s="22"/>
    </row>
    <row r="248" ht="12.75">
      <c r="A248" s="22"/>
    </row>
    <row r="261" ht="12.75">
      <c r="A261">
        <v>5</v>
      </c>
    </row>
    <row r="262" ht="12.75">
      <c r="A262">
        <v>5.1</v>
      </c>
    </row>
    <row r="263" spans="1:22" ht="12.75">
      <c r="A263" t="s">
        <v>79</v>
      </c>
      <c r="T263" t="s">
        <v>82</v>
      </c>
      <c r="U263" t="s">
        <v>76</v>
      </c>
      <c r="V263" t="s">
        <v>83</v>
      </c>
    </row>
    <row r="264" spans="1:24" ht="12.75">
      <c r="A264" t="s">
        <v>80</v>
      </c>
      <c r="B264" t="s">
        <v>81</v>
      </c>
      <c r="T264" s="14">
        <f>A224</f>
        <v>69.55</v>
      </c>
      <c r="U264" s="19">
        <f>G224</f>
        <v>-20.42815886276599</v>
      </c>
      <c r="V264" s="19">
        <f>U264</f>
        <v>-20.42815886276599</v>
      </c>
      <c r="W264">
        <v>70</v>
      </c>
      <c r="X264">
        <v>-197.07934886276598</v>
      </c>
    </row>
    <row r="265" spans="1:24" ht="12.75">
      <c r="A265">
        <v>120</v>
      </c>
      <c r="B265">
        <v>0</v>
      </c>
      <c r="T265" s="14">
        <f>A225</f>
        <v>59.986875</v>
      </c>
      <c r="U265" s="19">
        <f>G225</f>
        <v>-10.088640973484335</v>
      </c>
      <c r="W265">
        <v>60</v>
      </c>
      <c r="X265">
        <v>-153</v>
      </c>
    </row>
    <row r="266" spans="1:24" ht="12.75">
      <c r="A266">
        <v>200</v>
      </c>
      <c r="B266">
        <v>-5</v>
      </c>
      <c r="T266" s="14">
        <f aca="true" t="shared" si="22" ref="T266:T278">A226</f>
        <v>52.1625</v>
      </c>
      <c r="U266" s="19">
        <f aca="true" t="shared" si="23" ref="U266:U276">G226</f>
        <v>4.041721026782675</v>
      </c>
      <c r="W266">
        <v>52</v>
      </c>
      <c r="X266">
        <v>-117</v>
      </c>
    </row>
    <row r="267" spans="1:24" ht="12.75">
      <c r="A267">
        <v>300</v>
      </c>
      <c r="B267">
        <v>-10</v>
      </c>
      <c r="T267" s="14">
        <f t="shared" si="22"/>
        <v>45.381375000000006</v>
      </c>
      <c r="U267" s="19">
        <v>-83.23</v>
      </c>
      <c r="W267">
        <v>45</v>
      </c>
      <c r="X267">
        <v>-98</v>
      </c>
    </row>
    <row r="268" spans="1:24" ht="12.75">
      <c r="A268">
        <v>210</v>
      </c>
      <c r="B268">
        <v>-5</v>
      </c>
      <c r="T268" s="14">
        <f t="shared" si="22"/>
        <v>41.382250000000006</v>
      </c>
      <c r="U268" s="19">
        <v>-73.23</v>
      </c>
      <c r="W268">
        <v>41</v>
      </c>
      <c r="X268">
        <v>-85</v>
      </c>
    </row>
    <row r="269" spans="1:24" ht="12.75">
      <c r="A269">
        <v>100</v>
      </c>
      <c r="B269">
        <v>0</v>
      </c>
      <c r="T269" s="14">
        <f t="shared" si="22"/>
        <v>38.252500000000005</v>
      </c>
      <c r="U269" s="19">
        <v>-63.223</v>
      </c>
      <c r="W269">
        <v>38</v>
      </c>
      <c r="X269">
        <v>-63.223</v>
      </c>
    </row>
    <row r="270" spans="20:24" ht="12.75">
      <c r="T270" s="14">
        <f t="shared" si="22"/>
        <v>35.644375</v>
      </c>
      <c r="U270" s="19">
        <v>-53.23</v>
      </c>
      <c r="W270">
        <v>36</v>
      </c>
      <c r="X270">
        <v>-53.23</v>
      </c>
    </row>
    <row r="271" spans="20:24" ht="12.75">
      <c r="T271" s="14">
        <f t="shared" si="22"/>
        <v>33.210125000000005</v>
      </c>
      <c r="U271" s="19">
        <v>-44.33</v>
      </c>
      <c r="W271">
        <v>33</v>
      </c>
      <c r="X271">
        <v>-44.33</v>
      </c>
    </row>
    <row r="272" spans="20:24" ht="12.75">
      <c r="T272" s="14">
        <f t="shared" si="22"/>
        <v>32.166875000000005</v>
      </c>
      <c r="U272" s="19">
        <f t="shared" si="23"/>
        <v>2.494587004652299</v>
      </c>
      <c r="W272">
        <v>32</v>
      </c>
      <c r="X272">
        <v>-34.3265816062852</v>
      </c>
    </row>
    <row r="273" spans="20:24" ht="12.75">
      <c r="T273" s="14">
        <f t="shared" si="22"/>
        <v>29.558750000000003</v>
      </c>
      <c r="U273" s="19">
        <f t="shared" si="23"/>
        <v>16.389059735757016</v>
      </c>
      <c r="W273">
        <v>30</v>
      </c>
      <c r="X273">
        <v>-16.116061457992984</v>
      </c>
    </row>
    <row r="274" spans="20:24" ht="12.75">
      <c r="T274" s="14">
        <f t="shared" si="22"/>
        <v>27.819999999999997</v>
      </c>
      <c r="U274" s="19">
        <f t="shared" si="23"/>
        <v>33.97664000019472</v>
      </c>
      <c r="W274">
        <v>28</v>
      </c>
      <c r="X274">
        <v>5.712449600194724</v>
      </c>
    </row>
    <row r="275" spans="20:24" ht="12.75">
      <c r="T275" s="14">
        <f t="shared" si="22"/>
        <v>26.08125</v>
      </c>
      <c r="U275" s="19">
        <f t="shared" si="23"/>
        <v>52.810865896114066</v>
      </c>
      <c r="W275">
        <v>26</v>
      </c>
      <c r="X275">
        <v>28.49179230236407</v>
      </c>
    </row>
    <row r="276" spans="20:24" ht="12.75">
      <c r="T276" s="14">
        <f t="shared" si="22"/>
        <v>24.864125</v>
      </c>
      <c r="U276" s="19">
        <f t="shared" si="23"/>
        <v>69.20418878779299</v>
      </c>
      <c r="W276">
        <v>25</v>
      </c>
      <c r="X276">
        <v>46.677087635855486</v>
      </c>
    </row>
    <row r="277" spans="20:24" ht="12.75">
      <c r="T277" s="14">
        <f t="shared" si="22"/>
        <v>23.820875</v>
      </c>
      <c r="U277" s="19">
        <v>60.3</v>
      </c>
      <c r="W277">
        <v>24</v>
      </c>
      <c r="X277">
        <v>60.3</v>
      </c>
    </row>
    <row r="278" spans="20:24" ht="12.75">
      <c r="T278" s="14">
        <f t="shared" si="22"/>
        <v>22.777625</v>
      </c>
      <c r="U278" s="19">
        <v>76.3</v>
      </c>
      <c r="W278">
        <v>23</v>
      </c>
      <c r="X278">
        <v>76.3</v>
      </c>
    </row>
    <row r="279" spans="20:24" ht="12.75">
      <c r="T279" s="14">
        <f>A242</f>
        <v>19.300125</v>
      </c>
      <c r="U279" s="19">
        <v>92.3</v>
      </c>
      <c r="W279">
        <v>21</v>
      </c>
      <c r="X279">
        <v>92.3</v>
      </c>
    </row>
    <row r="280" spans="20:24" ht="12.75">
      <c r="T280" s="14">
        <f>A243</f>
        <v>18.256875</v>
      </c>
      <c r="U280" s="19">
        <v>108.3</v>
      </c>
      <c r="W280">
        <v>20</v>
      </c>
      <c r="X280">
        <v>108.3</v>
      </c>
    </row>
    <row r="281" spans="20:24" ht="12.75">
      <c r="T281" s="14">
        <f>A244</f>
        <v>17.73525</v>
      </c>
      <c r="U281" s="19">
        <f>G244</f>
        <v>137.48610298289458</v>
      </c>
      <c r="W281">
        <v>19</v>
      </c>
      <c r="X281">
        <v>124.30425935314457</v>
      </c>
    </row>
    <row r="282" spans="20:24" ht="12.75">
      <c r="T282" s="14">
        <f>A245</f>
        <v>17.213625</v>
      </c>
      <c r="U282" s="19">
        <f>G245</f>
        <v>155.05918899046415</v>
      </c>
      <c r="W282">
        <v>18</v>
      </c>
      <c r="X282">
        <v>143.28442453302665</v>
      </c>
    </row>
    <row r="283" spans="20:24" ht="12.75">
      <c r="T283">
        <v>18</v>
      </c>
      <c r="U283" s="19">
        <v>156.24</v>
      </c>
      <c r="W283">
        <v>18</v>
      </c>
      <c r="X283">
        <v>156.24</v>
      </c>
    </row>
    <row r="284" spans="20:24" ht="12.75">
      <c r="T284" s="14">
        <f>A246</f>
        <v>0</v>
      </c>
      <c r="U284" s="19">
        <f>G246</f>
        <v>155.06</v>
      </c>
      <c r="W284">
        <v>0</v>
      </c>
      <c r="X284">
        <v>156.24442453302666</v>
      </c>
    </row>
    <row r="285" spans="20:21" ht="12.75">
      <c r="T285" s="14"/>
      <c r="U285" s="19"/>
    </row>
    <row r="286" spans="20:21" ht="12.75">
      <c r="T286" s="14"/>
      <c r="U286" s="19"/>
    </row>
    <row r="288" spans="2:15" ht="12.75">
      <c r="B288" t="s">
        <v>84</v>
      </c>
      <c r="C288" t="s">
        <v>85</v>
      </c>
      <c r="D288" t="s">
        <v>86</v>
      </c>
      <c r="E288" t="s">
        <v>87</v>
      </c>
      <c r="F288" t="s">
        <v>88</v>
      </c>
      <c r="G288" t="s">
        <v>95</v>
      </c>
      <c r="H288" t="s">
        <v>89</v>
      </c>
      <c r="I288" t="s">
        <v>90</v>
      </c>
      <c r="J288" t="s">
        <v>91</v>
      </c>
      <c r="K288" t="s">
        <v>92</v>
      </c>
      <c r="L288" t="s">
        <v>93</v>
      </c>
      <c r="M288" t="s">
        <v>94</v>
      </c>
      <c r="N288" t="s">
        <v>146</v>
      </c>
      <c r="O288" t="s">
        <v>100</v>
      </c>
    </row>
    <row r="289" spans="2:15" ht="12.75">
      <c r="B289">
        <v>1</v>
      </c>
      <c r="C289" s="14">
        <v>0</v>
      </c>
      <c r="D289">
        <v>0</v>
      </c>
      <c r="E289" s="19">
        <v>0</v>
      </c>
      <c r="F289" s="19">
        <f aca="true" t="shared" si="24" ref="F289:F304">G289-M289</f>
        <v>155.06</v>
      </c>
      <c r="G289" s="19">
        <f>PERCENTILE(J245:J246,1-PERCENTRANK(A245:A246,C289))</f>
        <v>155.06</v>
      </c>
      <c r="H289" s="19">
        <f aca="true" t="shared" si="25" ref="H289:H313">28.3*1.15*(D289/F289)</f>
        <v>0</v>
      </c>
      <c r="I289" s="19">
        <f>H289</f>
        <v>0</v>
      </c>
      <c r="J289">
        <f>PERCENTILE(C179:C180,1-PERCENTRANK(A245:A246,C289))</f>
        <v>440</v>
      </c>
      <c r="K289">
        <f aca="true" t="shared" si="26" ref="K289:K313">7.87*1.15*D289*(E289/F289)</f>
        <v>0</v>
      </c>
      <c r="L289" s="19">
        <f>K289</f>
        <v>0</v>
      </c>
      <c r="M289">
        <v>0</v>
      </c>
      <c r="N289">
        <f>PERCENTILE($A$225:$A$226,1-PERCENTRANK($A$225:$J$226,M289))</f>
        <v>54.345500625</v>
      </c>
      <c r="O289" t="s">
        <v>101</v>
      </c>
    </row>
    <row r="290" spans="2:17" ht="12.75">
      <c r="B290">
        <v>2</v>
      </c>
      <c r="C290" s="14">
        <f aca="true" t="shared" si="27" ref="C290:C309">C289+D290</f>
        <v>5</v>
      </c>
      <c r="D290">
        <v>5</v>
      </c>
      <c r="E290" s="19">
        <f>C289+D290/2</f>
        <v>2.5</v>
      </c>
      <c r="F290" s="19">
        <f t="shared" si="24"/>
        <v>155.06</v>
      </c>
      <c r="G290" s="19">
        <f>PERCENTILE(J245:J246,1-PERCENTRANK(A245:A246,C290))</f>
        <v>155.06</v>
      </c>
      <c r="H290" s="19">
        <f t="shared" si="25"/>
        <v>1.0494324777505484</v>
      </c>
      <c r="I290" s="19">
        <f aca="true" t="shared" si="28" ref="I290:I311">I289+H290</f>
        <v>1.0494324777505484</v>
      </c>
      <c r="J290">
        <f>PERCENTILE(C179:C180,1-PERCENTRANK(A245:A246,C290))</f>
        <v>440</v>
      </c>
      <c r="K290">
        <f t="shared" si="26"/>
        <v>0.7295966077647362</v>
      </c>
      <c r="L290" s="19">
        <f>L289+K290</f>
        <v>0.7295966077647362</v>
      </c>
      <c r="M290">
        <v>0</v>
      </c>
      <c r="N290">
        <f aca="true" t="shared" si="29" ref="N290:N324">PERCENTILE($A$225:$A$226,1-PERCENTRANK($A$225:$J$226,M290))</f>
        <v>54.345500625</v>
      </c>
      <c r="O290" s="24" t="s">
        <v>102</v>
      </c>
      <c r="Q290" t="s">
        <v>96</v>
      </c>
    </row>
    <row r="291" spans="2:17" ht="12.75">
      <c r="B291">
        <v>3</v>
      </c>
      <c r="C291" s="14">
        <f t="shared" si="27"/>
        <v>10</v>
      </c>
      <c r="D291">
        <v>5</v>
      </c>
      <c r="E291" s="19">
        <f>C290+D291/2</f>
        <v>7.5</v>
      </c>
      <c r="F291" s="19">
        <f t="shared" si="24"/>
        <v>155.06</v>
      </c>
      <c r="G291" s="19">
        <f>PERCENTILE(J245:J246,1-PERCENTRANK(A245:A246,C291))</f>
        <v>155.06</v>
      </c>
      <c r="H291" s="19">
        <f t="shared" si="25"/>
        <v>1.0494324777505484</v>
      </c>
      <c r="I291" s="19">
        <f t="shared" si="28"/>
        <v>2.0988649555010968</v>
      </c>
      <c r="J291">
        <f>PERCENTILE(C179:C180,1-PERCENTRANK(A245:A246,C291))</f>
        <v>440</v>
      </c>
      <c r="K291">
        <f t="shared" si="26"/>
        <v>2.1887898232942087</v>
      </c>
      <c r="L291" s="19">
        <f>L290+K291</f>
        <v>2.918386431058945</v>
      </c>
      <c r="M291">
        <v>0</v>
      </c>
      <c r="N291">
        <f t="shared" si="29"/>
        <v>54.345500625</v>
      </c>
      <c r="O291" s="24" t="s">
        <v>102</v>
      </c>
      <c r="Q291" t="s">
        <v>97</v>
      </c>
    </row>
    <row r="292" spans="2:17" ht="12.75">
      <c r="B292">
        <v>4</v>
      </c>
      <c r="C292" s="14">
        <f t="shared" si="27"/>
        <v>15</v>
      </c>
      <c r="D292">
        <v>5</v>
      </c>
      <c r="E292" s="19">
        <f>C291+D292/3</f>
        <v>11.666666666666666</v>
      </c>
      <c r="F292" s="19">
        <f t="shared" si="24"/>
        <v>155.06</v>
      </c>
      <c r="G292" s="19">
        <f>PERCENTILE(J245:J246,1-PERCENTRANK(A245:A246,C292))</f>
        <v>155.06</v>
      </c>
      <c r="H292" s="19">
        <f t="shared" si="25"/>
        <v>1.0494324777505484</v>
      </c>
      <c r="I292" s="19">
        <f t="shared" si="28"/>
        <v>3.148297433251645</v>
      </c>
      <c r="J292">
        <f>PERCENTILE(C179:C180,1-PERCENTRANK(A245:A246,C292))</f>
        <v>440</v>
      </c>
      <c r="K292">
        <f t="shared" si="26"/>
        <v>3.4047841695687686</v>
      </c>
      <c r="L292" s="19">
        <f>L291+K292</f>
        <v>6.323170600627714</v>
      </c>
      <c r="M292">
        <v>0</v>
      </c>
      <c r="N292">
        <f t="shared" si="29"/>
        <v>54.345500625</v>
      </c>
      <c r="O292" s="24" t="s">
        <v>102</v>
      </c>
      <c r="Q292" t="s">
        <v>98</v>
      </c>
    </row>
    <row r="293" spans="2:15" ht="12.75">
      <c r="B293">
        <v>5</v>
      </c>
      <c r="C293" s="14">
        <f t="shared" si="27"/>
        <v>20</v>
      </c>
      <c r="D293">
        <v>5</v>
      </c>
      <c r="E293" s="19">
        <f aca="true" t="shared" si="30" ref="E293:E324">C292+D293/2</f>
        <v>17.5</v>
      </c>
      <c r="F293" s="19">
        <f t="shared" si="24"/>
        <v>100.6342</v>
      </c>
      <c r="G293" s="19">
        <f>PERCENTILE(J241:J242,1-PERCENTRANK(A241:A242,C293))</f>
        <v>100.6342</v>
      </c>
      <c r="H293" s="19">
        <f t="shared" si="25"/>
        <v>1.616995017598391</v>
      </c>
      <c r="I293" s="19">
        <f t="shared" si="28"/>
        <v>4.765292450850036</v>
      </c>
      <c r="J293">
        <f>PERCENTILE(C183:C184,1-PERCENTRANK(A241:A242,C293))</f>
        <v>293.2</v>
      </c>
      <c r="K293">
        <f t="shared" si="26"/>
        <v>7.869280522923617</v>
      </c>
      <c r="L293" s="19">
        <f>L292+K293</f>
        <v>14.192451123551331</v>
      </c>
      <c r="M293">
        <v>0</v>
      </c>
      <c r="N293">
        <f t="shared" si="29"/>
        <v>54.345500625</v>
      </c>
      <c r="O293" s="24" t="s">
        <v>102</v>
      </c>
    </row>
    <row r="294" spans="2:15" ht="12.75">
      <c r="B294">
        <v>6</v>
      </c>
      <c r="C294" s="14">
        <f t="shared" si="27"/>
        <v>22.6</v>
      </c>
      <c r="D294">
        <v>2.6</v>
      </c>
      <c r="E294" s="19">
        <f t="shared" si="30"/>
        <v>21.3</v>
      </c>
      <c r="F294" s="19">
        <f t="shared" si="24"/>
        <v>87.19734000000001</v>
      </c>
      <c r="G294" s="19">
        <f>PERCENTILE(J239:J240,1-PERCENTRANK(A239:A240,C294))</f>
        <v>87.19734000000001</v>
      </c>
      <c r="H294" s="19">
        <f t="shared" si="25"/>
        <v>0.9704080422636745</v>
      </c>
      <c r="I294" s="19">
        <f t="shared" si="28"/>
        <v>5.73570049311371</v>
      </c>
      <c r="J294" t="s">
        <v>105</v>
      </c>
      <c r="K294">
        <f t="shared" si="26"/>
        <v>5.7480731636997175</v>
      </c>
      <c r="L294" s="19">
        <f>L293+K294</f>
        <v>19.940524287251048</v>
      </c>
      <c r="M294">
        <v>0</v>
      </c>
      <c r="N294">
        <f t="shared" si="29"/>
        <v>54.345500625</v>
      </c>
      <c r="O294" s="24" t="s">
        <v>102</v>
      </c>
    </row>
    <row r="295" spans="2:15" ht="12.75">
      <c r="B295">
        <v>7</v>
      </c>
      <c r="C295" s="14">
        <f t="shared" si="27"/>
        <v>28</v>
      </c>
      <c r="D295">
        <v>5.4</v>
      </c>
      <c r="E295" s="19">
        <f t="shared" si="30"/>
        <v>25.3</v>
      </c>
      <c r="F295" s="19">
        <f t="shared" si="24"/>
        <v>57.68466000000001</v>
      </c>
      <c r="G295" s="19">
        <f>PERCENTILE(J233:J234,1-PERCENTRANK(A233:A234,C295))</f>
        <v>57.68466000000001</v>
      </c>
      <c r="H295" s="19">
        <f t="shared" si="25"/>
        <v>3.046615859398322</v>
      </c>
      <c r="I295" s="19">
        <f t="shared" si="28"/>
        <v>8.782316352512032</v>
      </c>
      <c r="J295">
        <f>PERCENTILE(C191:C192,1-PERCENTRANK(A233:A234,C295))</f>
        <v>195.88</v>
      </c>
      <c r="K295">
        <f t="shared" si="26"/>
        <v>21.435149483415522</v>
      </c>
      <c r="L295" s="19">
        <f aca="true" t="shared" si="31" ref="L295:L324">L294+K295</f>
        <v>41.375673770666566</v>
      </c>
      <c r="M295">
        <v>0</v>
      </c>
      <c r="N295">
        <f t="shared" si="29"/>
        <v>54.345500625</v>
      </c>
      <c r="O295" s="24" t="s">
        <v>102</v>
      </c>
    </row>
    <row r="296" spans="2:15" ht="12.75">
      <c r="B296">
        <v>8</v>
      </c>
      <c r="C296" s="14">
        <f t="shared" si="27"/>
        <v>32</v>
      </c>
      <c r="D296">
        <v>4</v>
      </c>
      <c r="E296" s="19">
        <f t="shared" si="30"/>
        <v>30</v>
      </c>
      <c r="F296" s="19">
        <f t="shared" si="24"/>
        <v>47.089920000000006</v>
      </c>
      <c r="G296" s="19">
        <f>PERCENTILE(J232:J233,1-PERCENTRANK(A232:A233,C296))</f>
        <v>47.089920000000006</v>
      </c>
      <c r="H296" s="19">
        <f t="shared" si="25"/>
        <v>2.7644982195765038</v>
      </c>
      <c r="I296" s="19">
        <f t="shared" si="28"/>
        <v>11.546814572088536</v>
      </c>
      <c r="J296" t="s">
        <v>104</v>
      </c>
      <c r="K296">
        <f t="shared" si="26"/>
        <v>23.063534616325526</v>
      </c>
      <c r="L296" s="19">
        <f t="shared" si="31"/>
        <v>64.43920838699209</v>
      </c>
      <c r="M296">
        <v>0</v>
      </c>
      <c r="N296">
        <f t="shared" si="29"/>
        <v>54.345500625</v>
      </c>
      <c r="O296" s="24" t="s">
        <v>102</v>
      </c>
    </row>
    <row r="297" spans="2:15" ht="12.75">
      <c r="B297">
        <v>9</v>
      </c>
      <c r="C297" s="19">
        <f t="shared" si="27"/>
        <v>35.5</v>
      </c>
      <c r="D297">
        <v>3.5</v>
      </c>
      <c r="E297" s="19">
        <f t="shared" si="30"/>
        <v>33.75</v>
      </c>
      <c r="F297" s="19">
        <f t="shared" si="24"/>
        <v>35.506800000000005</v>
      </c>
      <c r="G297" s="19">
        <f>PERCENTILE(J230:J231,1-PERCENTRANK(A230:A231,C297))</f>
        <v>35.506800000000005</v>
      </c>
      <c r="H297" s="19">
        <f t="shared" si="25"/>
        <v>3.2080474725967982</v>
      </c>
      <c r="I297" s="19">
        <f t="shared" si="28"/>
        <v>14.754862044685334</v>
      </c>
      <c r="J297">
        <f>PERCENTILE(C194:C195,1-PERCENTRANK(A230:A231,C297))</f>
        <v>362.4</v>
      </c>
      <c r="K297">
        <f t="shared" si="26"/>
        <v>30.109452625975862</v>
      </c>
      <c r="L297" s="19">
        <f t="shared" si="31"/>
        <v>94.54866101296795</v>
      </c>
      <c r="M297">
        <v>0</v>
      </c>
      <c r="N297">
        <f t="shared" si="29"/>
        <v>54.345500625</v>
      </c>
      <c r="O297" s="24" t="s">
        <v>102</v>
      </c>
    </row>
    <row r="298" spans="2:15" ht="12.75">
      <c r="B298">
        <v>10</v>
      </c>
      <c r="C298" s="19">
        <f t="shared" si="27"/>
        <v>37.83</v>
      </c>
      <c r="D298">
        <v>2.33</v>
      </c>
      <c r="E298" s="19">
        <f t="shared" si="30"/>
        <v>36.665</v>
      </c>
      <c r="F298" s="19">
        <f t="shared" si="24"/>
        <v>30.316360000000003</v>
      </c>
      <c r="G298" s="19">
        <f>PERCENTILE(J229:J230,1-PERCENTRANK(A229:A230,C298))</f>
        <v>30.316360000000003</v>
      </c>
      <c r="H298" s="19">
        <f t="shared" si="25"/>
        <v>2.5012847848488406</v>
      </c>
      <c r="I298" s="19">
        <f t="shared" si="28"/>
        <v>17.256146829534174</v>
      </c>
      <c r="J298">
        <f>PERCENTILE(C195:C196,1-PERCENTRANK(A229:A230,C298))</f>
        <v>326.48</v>
      </c>
      <c r="K298">
        <f t="shared" si="26"/>
        <v>25.503696262513046</v>
      </c>
      <c r="L298" s="19">
        <f t="shared" si="31"/>
        <v>120.052357275481</v>
      </c>
      <c r="M298">
        <v>0</v>
      </c>
      <c r="N298">
        <f t="shared" si="29"/>
        <v>54.345500625</v>
      </c>
      <c r="O298" s="24" t="s">
        <v>102</v>
      </c>
    </row>
    <row r="299" spans="2:15" ht="12.75">
      <c r="B299">
        <v>11</v>
      </c>
      <c r="C299" s="19">
        <f t="shared" si="27"/>
        <v>41.28</v>
      </c>
      <c r="D299">
        <v>3.45</v>
      </c>
      <c r="E299" s="19">
        <f t="shared" si="30"/>
        <v>39.555</v>
      </c>
      <c r="F299" s="19">
        <f t="shared" si="24"/>
        <v>28.79074</v>
      </c>
      <c r="G299" s="19">
        <f>PERCENTILE(J228:J229,1-PERCENTRANK(A228:A229,C299))</f>
        <v>23.79074</v>
      </c>
      <c r="H299" s="19">
        <f t="shared" si="25"/>
        <v>3.8998737093940625</v>
      </c>
      <c r="I299" s="19">
        <f t="shared" si="28"/>
        <v>21.156020538928235</v>
      </c>
      <c r="J299">
        <f>PERCENTILE(C196:C197,1-PERCENTRANK(A228:A229,C299))</f>
        <v>281.32</v>
      </c>
      <c r="K299">
        <f t="shared" si="26"/>
        <v>42.898314523176545</v>
      </c>
      <c r="L299" s="19">
        <f t="shared" si="31"/>
        <v>162.95067179865754</v>
      </c>
      <c r="M299">
        <v>-5</v>
      </c>
      <c r="N299">
        <f t="shared" si="29"/>
        <v>54.486339375</v>
      </c>
      <c r="O299" s="24" t="s">
        <v>102</v>
      </c>
    </row>
    <row r="300" spans="2:15" ht="12.75">
      <c r="B300">
        <v>12</v>
      </c>
      <c r="C300" s="19">
        <f t="shared" si="27"/>
        <v>44.78</v>
      </c>
      <c r="D300">
        <v>3.5</v>
      </c>
      <c r="E300" s="19">
        <f t="shared" si="30"/>
        <v>43.03</v>
      </c>
      <c r="F300" s="19">
        <f t="shared" si="24"/>
        <v>23.69278</v>
      </c>
      <c r="G300" s="19">
        <f>PERCENTILE(J227:J228,1-PERCENTRANK(A227:A228,C300))</f>
        <v>18.69278</v>
      </c>
      <c r="H300" s="19">
        <f t="shared" si="25"/>
        <v>4.807688249331653</v>
      </c>
      <c r="I300" s="19">
        <f t="shared" si="28"/>
        <v>25.963708788259886</v>
      </c>
      <c r="J300">
        <f>PERCENTILE(C197:C198,1-PERCENTRANK(A227:A228,C300))</f>
        <v>246.04</v>
      </c>
      <c r="K300">
        <f t="shared" si="26"/>
        <v>57.530207620211726</v>
      </c>
      <c r="L300" s="19">
        <f t="shared" si="31"/>
        <v>220.48087941886928</v>
      </c>
      <c r="M300">
        <v>-5</v>
      </c>
      <c r="N300">
        <f t="shared" si="29"/>
        <v>54.486339375</v>
      </c>
      <c r="O300" s="24" t="s">
        <v>102</v>
      </c>
    </row>
    <row r="301" spans="2:15" ht="12.75">
      <c r="B301">
        <v>13</v>
      </c>
      <c r="C301" s="19">
        <f t="shared" si="27"/>
        <v>47.78</v>
      </c>
      <c r="D301">
        <v>3</v>
      </c>
      <c r="E301" s="19">
        <f t="shared" si="30"/>
        <v>46.28</v>
      </c>
      <c r="F301" s="19">
        <f t="shared" si="24"/>
        <v>17.95566</v>
      </c>
      <c r="G301" s="19">
        <f>PERCENTILE(J226:J227,1-PERCENTRANK(A226:A227,C301))</f>
        <v>12.955660000000002</v>
      </c>
      <c r="H301" s="19">
        <f t="shared" si="25"/>
        <v>5.437561192403955</v>
      </c>
      <c r="I301" s="19">
        <f t="shared" si="28"/>
        <v>31.40126998066384</v>
      </c>
      <c r="J301">
        <f>PERCENTILE(C198:C199,1-PERCENTRANK(A226:A227,C301))</f>
        <v>225.88</v>
      </c>
      <c r="K301">
        <f t="shared" si="26"/>
        <v>69.9819121101647</v>
      </c>
      <c r="L301" s="19">
        <f t="shared" si="31"/>
        <v>290.462791529034</v>
      </c>
      <c r="M301">
        <v>-5</v>
      </c>
      <c r="N301">
        <f t="shared" si="29"/>
        <v>54.486339375</v>
      </c>
      <c r="O301" s="24" t="s">
        <v>102</v>
      </c>
    </row>
    <row r="302" spans="2:15" ht="12.75">
      <c r="B302">
        <v>14</v>
      </c>
      <c r="C302" s="19">
        <f t="shared" si="27"/>
        <v>48.85</v>
      </c>
      <c r="D302">
        <v>1.07</v>
      </c>
      <c r="E302" s="19">
        <f t="shared" si="30"/>
        <v>48.315</v>
      </c>
      <c r="F302" s="19">
        <f t="shared" si="24"/>
        <v>15.778419999999999</v>
      </c>
      <c r="G302" s="19">
        <f>PERCENTILE(J226:J227,1-PERCENTRANK(A226:A227,C302))</f>
        <v>10.778419999999999</v>
      </c>
      <c r="H302" s="19">
        <f t="shared" si="25"/>
        <v>2.207011221655908</v>
      </c>
      <c r="I302" s="19">
        <f t="shared" si="28"/>
        <v>33.60828120231975</v>
      </c>
      <c r="J302">
        <f>PERCENTILE(C198:C199,1-PERCENTRANK(A226:A227,C302))</f>
        <v>219.56</v>
      </c>
      <c r="K302">
        <f t="shared" si="26"/>
        <v>29.653422270734332</v>
      </c>
      <c r="L302" s="19">
        <f t="shared" si="31"/>
        <v>320.11621379976833</v>
      </c>
      <c r="M302">
        <v>-5</v>
      </c>
      <c r="N302">
        <f t="shared" si="29"/>
        <v>54.486339375</v>
      </c>
      <c r="O302" s="24" t="s">
        <v>102</v>
      </c>
    </row>
    <row r="303" spans="2:15" ht="12.75">
      <c r="B303">
        <v>15</v>
      </c>
      <c r="C303" s="19">
        <f t="shared" si="27"/>
        <v>52.25</v>
      </c>
      <c r="D303">
        <v>3.4</v>
      </c>
      <c r="E303" s="19">
        <f t="shared" si="30"/>
        <v>50.550000000000004</v>
      </c>
      <c r="F303" s="19">
        <f t="shared" si="24"/>
        <v>13.884569999999998</v>
      </c>
      <c r="G303" s="19">
        <f>PERCENTILE(J225:J226,1-PERCENTRANK(A225:A226,C303))</f>
        <v>3.8845699999999983</v>
      </c>
      <c r="H303" s="19">
        <f t="shared" si="25"/>
        <v>7.9694941939145405</v>
      </c>
      <c r="I303" s="19">
        <f t="shared" si="28"/>
        <v>41.577775396234294</v>
      </c>
      <c r="J303">
        <f>PERCENTILE(C199:C200,1-PERCENTRANK(A225:A226,C303))</f>
        <v>199.56</v>
      </c>
      <c r="K303">
        <f t="shared" si="26"/>
        <v>112.03151664041452</v>
      </c>
      <c r="L303" s="19">
        <f t="shared" si="31"/>
        <v>432.14773044018284</v>
      </c>
      <c r="M303">
        <v>-10</v>
      </c>
      <c r="N303">
        <f t="shared" si="29"/>
        <v>54.6350025</v>
      </c>
      <c r="O303" s="24" t="s">
        <v>102</v>
      </c>
    </row>
    <row r="304" spans="2:15" ht="12.75">
      <c r="B304">
        <v>16</v>
      </c>
      <c r="C304" s="19">
        <f t="shared" si="27"/>
        <v>54.085</v>
      </c>
      <c r="D304" s="19">
        <v>1.835</v>
      </c>
      <c r="E304" s="19">
        <f t="shared" si="30"/>
        <v>53.1675</v>
      </c>
      <c r="F304" s="19">
        <f t="shared" si="24"/>
        <v>10</v>
      </c>
      <c r="G304" s="19">
        <v>0</v>
      </c>
      <c r="H304" s="19">
        <f t="shared" si="25"/>
        <v>5.9720075</v>
      </c>
      <c r="I304" s="19">
        <f t="shared" si="28"/>
        <v>47.54978289623429</v>
      </c>
      <c r="J304">
        <f>PERCENTILE(C199:C200,1-PERCENTRANK(A225:A226,C304))</f>
        <v>190.2</v>
      </c>
      <c r="K304">
        <f t="shared" si="26"/>
        <v>88.29881618062498</v>
      </c>
      <c r="L304" s="19">
        <f t="shared" si="31"/>
        <v>520.4465466208078</v>
      </c>
      <c r="M304">
        <v>-10</v>
      </c>
      <c r="N304">
        <f t="shared" si="29"/>
        <v>54.6350025</v>
      </c>
      <c r="O304" s="24" t="s">
        <v>102</v>
      </c>
    </row>
    <row r="305" spans="2:15" ht="12.75">
      <c r="B305">
        <v>17</v>
      </c>
      <c r="C305" s="19">
        <f t="shared" si="27"/>
        <v>52.885</v>
      </c>
      <c r="D305">
        <v>-1.2</v>
      </c>
      <c r="E305" s="19">
        <f t="shared" si="30"/>
        <v>53.485</v>
      </c>
      <c r="F305" s="19">
        <f aca="true" t="shared" si="32" ref="F305:F313">G305+M305</f>
        <v>-37.20662517089375</v>
      </c>
      <c r="G305" s="19">
        <f>PERCENTILE(D225:D226,1-PERCENTRANK(A225:A226,C305))</f>
        <v>-27.20662517089375</v>
      </c>
      <c r="H305" s="19">
        <f t="shared" si="25"/>
        <v>1.0496517709042696</v>
      </c>
      <c r="I305" s="19">
        <f t="shared" si="28"/>
        <v>48.59943466713856</v>
      </c>
      <c r="J305">
        <v>0</v>
      </c>
      <c r="K305">
        <f t="shared" si="26"/>
        <v>15.612251536707879</v>
      </c>
      <c r="L305" s="19">
        <f t="shared" si="31"/>
        <v>536.0587981575156</v>
      </c>
      <c r="M305">
        <v>-10</v>
      </c>
      <c r="N305">
        <f t="shared" si="29"/>
        <v>54.6350025</v>
      </c>
      <c r="O305" t="s">
        <v>103</v>
      </c>
    </row>
    <row r="306" spans="2:15" ht="12.75">
      <c r="B306">
        <v>18</v>
      </c>
      <c r="C306" s="19">
        <f t="shared" si="27"/>
        <v>51.085</v>
      </c>
      <c r="D306">
        <v>-1.8</v>
      </c>
      <c r="E306" s="19">
        <f t="shared" si="30"/>
        <v>51.985</v>
      </c>
      <c r="F306" s="19">
        <f t="shared" si="32"/>
        <v>-36.463018839847436</v>
      </c>
      <c r="G306" s="19">
        <f>PERCENTILE(D226:D227,1-PERCENTRANK(A226:A227,C306))</f>
        <v>-26.46301883984744</v>
      </c>
      <c r="H306" s="19">
        <f t="shared" si="25"/>
        <v>1.6065866695596154</v>
      </c>
      <c r="I306" s="19">
        <f t="shared" si="28"/>
        <v>50.20602133669818</v>
      </c>
      <c r="J306">
        <v>0</v>
      </c>
      <c r="K306">
        <f t="shared" si="26"/>
        <v>23.22579049802952</v>
      </c>
      <c r="L306" s="19">
        <f t="shared" si="31"/>
        <v>559.2845886555451</v>
      </c>
      <c r="M306">
        <v>-10</v>
      </c>
      <c r="N306">
        <v>0</v>
      </c>
      <c r="O306" s="24" t="s">
        <v>102</v>
      </c>
    </row>
    <row r="307" spans="2:15" ht="12.75">
      <c r="B307">
        <v>19</v>
      </c>
      <c r="C307" s="19">
        <f t="shared" si="27"/>
        <v>48.085</v>
      </c>
      <c r="D307">
        <v>-3</v>
      </c>
      <c r="E307" s="19">
        <f t="shared" si="30"/>
        <v>49.585</v>
      </c>
      <c r="F307" s="19">
        <f t="shared" si="32"/>
        <v>-35.29091666486263</v>
      </c>
      <c r="G307" s="19">
        <f>PERCENTILE(D226:D227,1-PERCENTRANK(A226:A227,C307))</f>
        <v>-25.29091666486263</v>
      </c>
      <c r="H307" s="19">
        <f t="shared" si="25"/>
        <v>2.7665759132068737</v>
      </c>
      <c r="I307" s="19">
        <f t="shared" si="28"/>
        <v>52.97259724990505</v>
      </c>
      <c r="J307">
        <v>0</v>
      </c>
      <c r="K307">
        <f t="shared" si="26"/>
        <v>38.14882850125708</v>
      </c>
      <c r="L307" s="19">
        <f t="shared" si="31"/>
        <v>597.4334171568022</v>
      </c>
      <c r="M307">
        <v>-10</v>
      </c>
      <c r="N307">
        <v>0</v>
      </c>
      <c r="O307" s="24" t="s">
        <v>102</v>
      </c>
    </row>
    <row r="308" spans="2:15" ht="12.75">
      <c r="B308">
        <v>20</v>
      </c>
      <c r="C308" s="19">
        <f t="shared" si="27"/>
        <v>46.255</v>
      </c>
      <c r="D308">
        <v>-1.83</v>
      </c>
      <c r="E308" s="19">
        <f t="shared" si="30"/>
        <v>47.17</v>
      </c>
      <c r="F308" s="19">
        <f t="shared" si="32"/>
        <v>-34.5765428787545</v>
      </c>
      <c r="G308" s="19">
        <f>PERCENTILE(D226:D227,1-PERCENTRANK(A226:A227,C308))</f>
        <v>-24.576542878754502</v>
      </c>
      <c r="H308" s="19">
        <f t="shared" si="25"/>
        <v>1.7224784504582416</v>
      </c>
      <c r="I308" s="19">
        <f t="shared" si="28"/>
        <v>54.69507570036329</v>
      </c>
      <c r="J308">
        <v>0</v>
      </c>
      <c r="K308">
        <f t="shared" si="26"/>
        <v>22.594772366037706</v>
      </c>
      <c r="L308" s="19">
        <f t="shared" si="31"/>
        <v>620.0281895228399</v>
      </c>
      <c r="M308">
        <v>-10</v>
      </c>
      <c r="N308">
        <v>0</v>
      </c>
      <c r="O308" s="24" t="s">
        <v>102</v>
      </c>
    </row>
    <row r="309" spans="2:15" ht="12.75">
      <c r="B309">
        <v>21</v>
      </c>
      <c r="C309" s="14">
        <f t="shared" si="27"/>
        <v>44</v>
      </c>
      <c r="D309" s="19">
        <v>-2.255</v>
      </c>
      <c r="E309" s="19">
        <f t="shared" si="30"/>
        <v>45.127500000000005</v>
      </c>
      <c r="F309" s="19">
        <f t="shared" si="32"/>
        <v>-28.757658430312375</v>
      </c>
      <c r="G309" s="19">
        <f>PERCENTILE(D227:D228,1-PERCENTRANK(A227:A228,C309))</f>
        <v>-23.757658430312375</v>
      </c>
      <c r="H309" s="19">
        <f t="shared" si="25"/>
        <v>2.551980203041963</v>
      </c>
      <c r="I309" s="19">
        <f t="shared" si="28"/>
        <v>57.247055903405254</v>
      </c>
      <c r="J309">
        <v>0</v>
      </c>
      <c r="K309">
        <f t="shared" si="26"/>
        <v>32.02630776122081</v>
      </c>
      <c r="L309" s="19">
        <f t="shared" si="31"/>
        <v>652.0544972840606</v>
      </c>
      <c r="M309">
        <v>-5</v>
      </c>
      <c r="N309">
        <v>0</v>
      </c>
      <c r="O309" s="24" t="s">
        <v>102</v>
      </c>
    </row>
    <row r="310" spans="2:15" ht="12.75">
      <c r="B310">
        <v>22</v>
      </c>
      <c r="C310" s="14">
        <f aca="true" t="shared" si="33" ref="C310:C324">C309+D310</f>
        <v>39</v>
      </c>
      <c r="D310">
        <v>-5</v>
      </c>
      <c r="E310" s="19">
        <f t="shared" si="30"/>
        <v>41.5</v>
      </c>
      <c r="F310" s="19">
        <f t="shared" si="32"/>
        <v>-27.090288514589503</v>
      </c>
      <c r="G310" s="19">
        <f>PERCENTILE(D228:D229,1-PERCENTRANK(A228:A229,C310))</f>
        <v>-22.090288514589503</v>
      </c>
      <c r="H310" s="19">
        <f t="shared" si="25"/>
        <v>6.0067651148257175</v>
      </c>
      <c r="I310" s="19">
        <f t="shared" si="28"/>
        <v>63.25382101823097</v>
      </c>
      <c r="J310">
        <v>0</v>
      </c>
      <c r="K310">
        <f t="shared" si="26"/>
        <v>69.32295124832696</v>
      </c>
      <c r="L310" s="19">
        <f t="shared" si="31"/>
        <v>721.3774485323876</v>
      </c>
      <c r="M310">
        <v>-5</v>
      </c>
      <c r="N310">
        <v>0</v>
      </c>
      <c r="O310" s="24" t="s">
        <v>102</v>
      </c>
    </row>
    <row r="311" spans="2:15" ht="12.75">
      <c r="B311">
        <v>23</v>
      </c>
      <c r="C311" s="14">
        <f t="shared" si="33"/>
        <v>33</v>
      </c>
      <c r="D311">
        <v>-6</v>
      </c>
      <c r="E311" s="19">
        <f t="shared" si="30"/>
        <v>36</v>
      </c>
      <c r="F311" s="19">
        <f t="shared" si="32"/>
        <v>-25.3565403294205</v>
      </c>
      <c r="G311" s="19">
        <f>PERCENTILE(D231:D232,1-PERCENTRANK(A231:A232,C311))</f>
        <v>-20.3565403294205</v>
      </c>
      <c r="H311" s="19">
        <f t="shared" si="25"/>
        <v>7.700971720240303</v>
      </c>
      <c r="I311" s="19">
        <f t="shared" si="28"/>
        <v>70.95479273847127</v>
      </c>
      <c r="J311">
        <v>0</v>
      </c>
      <c r="K311">
        <f t="shared" si="26"/>
        <v>77.09679532786157</v>
      </c>
      <c r="L311" s="19">
        <f t="shared" si="31"/>
        <v>798.4742438602491</v>
      </c>
      <c r="M311">
        <v>-5</v>
      </c>
      <c r="N311">
        <v>0</v>
      </c>
      <c r="O311" s="24" t="s">
        <v>102</v>
      </c>
    </row>
    <row r="312" spans="2:15" ht="12.75">
      <c r="B312">
        <v>24</v>
      </c>
      <c r="C312" s="19">
        <f t="shared" si="33"/>
        <v>31.33</v>
      </c>
      <c r="D312">
        <v>-1.67</v>
      </c>
      <c r="E312" s="19">
        <f t="shared" si="30"/>
        <v>32.165</v>
      </c>
      <c r="F312" s="19">
        <f t="shared" si="32"/>
        <v>-24.93212260997969</v>
      </c>
      <c r="G312" s="19">
        <f>PERCENTILE(D232:D233,1-PERCENTRANK(A232:A233,C312))</f>
        <v>-19.93212260997969</v>
      </c>
      <c r="H312" s="19">
        <f t="shared" si="25"/>
        <v>2.179924703973862</v>
      </c>
      <c r="I312" s="19">
        <f aca="true" t="shared" si="34" ref="I312:I324">I311+H312</f>
        <v>73.13471744244514</v>
      </c>
      <c r="J312">
        <v>0</v>
      </c>
      <c r="K312">
        <f t="shared" si="26"/>
        <v>19.49904518279585</v>
      </c>
      <c r="L312" s="19">
        <f t="shared" si="31"/>
        <v>817.9732890430449</v>
      </c>
      <c r="M312">
        <v>-5</v>
      </c>
      <c r="N312">
        <v>0</v>
      </c>
      <c r="O312" s="24" t="s">
        <v>102</v>
      </c>
    </row>
    <row r="313" spans="2:15" ht="12.75">
      <c r="B313">
        <v>25</v>
      </c>
      <c r="C313" s="19">
        <f t="shared" si="33"/>
        <v>30.479999999999997</v>
      </c>
      <c r="D313">
        <v>-0.85</v>
      </c>
      <c r="E313" s="19">
        <f t="shared" si="30"/>
        <v>30.904999999999998</v>
      </c>
      <c r="F313" s="19">
        <f t="shared" si="32"/>
        <v>-19.722194067982812</v>
      </c>
      <c r="G313" s="19">
        <f>PERCENTILE(D232:D233,1-PERCENTRANK(A232:A233,C313))</f>
        <v>-19.722194067982812</v>
      </c>
      <c r="H313" s="19">
        <f t="shared" si="25"/>
        <v>1.4026456643030794</v>
      </c>
      <c r="I313" s="19">
        <f t="shared" si="34"/>
        <v>74.53736310674822</v>
      </c>
      <c r="J313">
        <v>0</v>
      </c>
      <c r="K313">
        <f t="shared" si="26"/>
        <v>12.054939034950744</v>
      </c>
      <c r="L313" s="19">
        <f t="shared" si="31"/>
        <v>830.0282280779957</v>
      </c>
      <c r="M313">
        <v>0</v>
      </c>
      <c r="N313">
        <v>0</v>
      </c>
      <c r="O313" s="24" t="s">
        <v>102</v>
      </c>
    </row>
    <row r="314" spans="2:15" ht="12.75">
      <c r="B314">
        <v>26</v>
      </c>
      <c r="C314" s="14">
        <f t="shared" si="33"/>
        <v>28.999999999999996</v>
      </c>
      <c r="D314">
        <v>-1.48</v>
      </c>
      <c r="E314" s="19">
        <f t="shared" si="30"/>
        <v>29.74</v>
      </c>
      <c r="F314" s="19">
        <f aca="true" t="shared" si="35" ref="F314:F324">G314+M314</f>
        <v>-19.3663785218375</v>
      </c>
      <c r="G314" s="19">
        <f>PERCENTILE(D233:D234,1-PERCENTRANK(A233:A234,C314))</f>
        <v>-19.3663785218375</v>
      </c>
      <c r="H314" s="19">
        <f aca="true" t="shared" si="36" ref="H314:H324">28.3*1.15*(D314/F314)</f>
        <v>2.487124784103926</v>
      </c>
      <c r="I314" s="19">
        <f t="shared" si="34"/>
        <v>77.02448789085214</v>
      </c>
      <c r="J314">
        <v>0</v>
      </c>
      <c r="K314">
        <f aca="true" t="shared" si="37" ref="K314:K324">7.87*1.15*D314*(E314/F314)</f>
        <v>20.569646883169728</v>
      </c>
      <c r="L314" s="19">
        <f t="shared" si="31"/>
        <v>850.5978749611654</v>
      </c>
      <c r="M314">
        <v>0</v>
      </c>
      <c r="N314">
        <v>0</v>
      </c>
      <c r="O314" s="24" t="s">
        <v>102</v>
      </c>
    </row>
    <row r="315" spans="2:15" ht="12.75">
      <c r="B315">
        <v>27</v>
      </c>
      <c r="C315" s="14">
        <f t="shared" si="33"/>
        <v>27.999999999999996</v>
      </c>
      <c r="D315">
        <v>-1</v>
      </c>
      <c r="E315" s="19">
        <f t="shared" si="30"/>
        <v>28.499999999999996</v>
      </c>
      <c r="F315" s="19">
        <f t="shared" si="35"/>
        <v>-19.136913728243748</v>
      </c>
      <c r="G315" s="19">
        <f>PERCENTILE(D233:D234,1-PERCENTRANK(A233:A234,C315))</f>
        <v>-19.136913728243748</v>
      </c>
      <c r="H315" s="19">
        <f t="shared" si="36"/>
        <v>1.7006399496888338</v>
      </c>
      <c r="I315" s="19">
        <f t="shared" si="34"/>
        <v>78.72512784054098</v>
      </c>
      <c r="J315">
        <v>0</v>
      </c>
      <c r="K315">
        <f t="shared" si="37"/>
        <v>13.478623233761729</v>
      </c>
      <c r="L315" s="19">
        <f t="shared" si="31"/>
        <v>864.0764981949271</v>
      </c>
      <c r="M315">
        <v>0</v>
      </c>
      <c r="N315">
        <v>0</v>
      </c>
      <c r="O315" s="24" t="s">
        <v>102</v>
      </c>
    </row>
    <row r="316" spans="2:15" ht="12.75">
      <c r="B316">
        <v>28</v>
      </c>
      <c r="C316" s="14">
        <f t="shared" si="33"/>
        <v>26.999999999999996</v>
      </c>
      <c r="D316">
        <v>-1</v>
      </c>
      <c r="E316" s="19">
        <f t="shared" si="30"/>
        <v>27.499999999999996</v>
      </c>
      <c r="F316" s="19">
        <f t="shared" si="35"/>
        <v>-18.91886473255</v>
      </c>
      <c r="G316" s="19">
        <f>PERCENTILE(D234:D235,1-PERCENTRANK(A234:A235,C316))</f>
        <v>-18.91886473255</v>
      </c>
      <c r="H316" s="19">
        <f t="shared" si="36"/>
        <v>1.7202406412899698</v>
      </c>
      <c r="I316" s="19">
        <f t="shared" si="34"/>
        <v>80.44536848183095</v>
      </c>
      <c r="J316">
        <v>0</v>
      </c>
      <c r="K316">
        <f t="shared" si="37"/>
        <v>13.15558589368133</v>
      </c>
      <c r="L316" s="19">
        <f t="shared" si="31"/>
        <v>877.2320840886084</v>
      </c>
      <c r="M316">
        <v>0</v>
      </c>
      <c r="N316">
        <v>0</v>
      </c>
      <c r="O316" s="24" t="s">
        <v>102</v>
      </c>
    </row>
    <row r="317" spans="2:15" ht="12.75">
      <c r="B317">
        <v>29</v>
      </c>
      <c r="C317" s="14">
        <f t="shared" si="33"/>
        <v>25.999999999999996</v>
      </c>
      <c r="D317">
        <v>-1</v>
      </c>
      <c r="E317" s="19">
        <f t="shared" si="30"/>
        <v>26.499999999999996</v>
      </c>
      <c r="F317" s="19">
        <f t="shared" si="35"/>
        <v>-18.704308559851437</v>
      </c>
      <c r="G317" s="19">
        <f>PERCENTILE(D235:D236,1-PERCENTRANK(A235:A236,C317))</f>
        <v>-18.704308559851437</v>
      </c>
      <c r="H317" s="19">
        <f t="shared" si="36"/>
        <v>1.7399734342416397</v>
      </c>
      <c r="I317" s="19">
        <f t="shared" si="34"/>
        <v>82.18534191607259</v>
      </c>
      <c r="J317">
        <v>0</v>
      </c>
      <c r="K317">
        <f t="shared" si="37"/>
        <v>12.822620479797353</v>
      </c>
      <c r="L317" s="19">
        <f t="shared" si="31"/>
        <v>890.0547045684058</v>
      </c>
      <c r="M317">
        <v>0</v>
      </c>
      <c r="N317">
        <v>0</v>
      </c>
      <c r="O317" s="24" t="s">
        <v>102</v>
      </c>
    </row>
    <row r="318" spans="2:15" ht="12.75">
      <c r="B318">
        <v>30</v>
      </c>
      <c r="C318" s="14">
        <f t="shared" si="33"/>
        <v>24.999999999999996</v>
      </c>
      <c r="D318">
        <v>-1</v>
      </c>
      <c r="E318" s="19">
        <f t="shared" si="30"/>
        <v>25.499999999999996</v>
      </c>
      <c r="F318" s="19">
        <f t="shared" si="35"/>
        <v>-18.500429907021314</v>
      </c>
      <c r="G318" s="19">
        <f>PERCENTILE($D$235:$D$236,1-PERCENTRANK($A$235:$A$236,C318))</f>
        <v>-18.500429907021314</v>
      </c>
      <c r="H318" s="19">
        <f t="shared" si="36"/>
        <v>1.7591483097183849</v>
      </c>
      <c r="I318" s="19">
        <f t="shared" si="34"/>
        <v>83.94449022579097</v>
      </c>
      <c r="J318">
        <v>0</v>
      </c>
      <c r="K318">
        <f t="shared" si="37"/>
        <v>12.474723623174345</v>
      </c>
      <c r="L318" s="19">
        <f t="shared" si="31"/>
        <v>902.5294281915801</v>
      </c>
      <c r="M318">
        <v>0</v>
      </c>
      <c r="N318">
        <v>0</v>
      </c>
      <c r="O318" s="24" t="s">
        <v>102</v>
      </c>
    </row>
    <row r="319" spans="2:15" ht="12.75">
      <c r="B319">
        <v>31</v>
      </c>
      <c r="C319" s="14">
        <f t="shared" si="33"/>
        <v>23.999999999999996</v>
      </c>
      <c r="D319">
        <v>-1</v>
      </c>
      <c r="E319" s="19">
        <f t="shared" si="30"/>
        <v>24.499999999999996</v>
      </c>
      <c r="F319" s="19">
        <f t="shared" si="35"/>
        <v>-18.3044771314175</v>
      </c>
      <c r="G319" s="19">
        <f>PERCENTILE($D$236:$D$237,1-PERCENTRANK($A$236:$A$237,C319))</f>
        <v>-18.3044771314175</v>
      </c>
      <c r="H319" s="19">
        <f t="shared" si="36"/>
        <v>1.7779803141243684</v>
      </c>
      <c r="I319" s="19">
        <f t="shared" si="34"/>
        <v>85.72247053991534</v>
      </c>
      <c r="J319">
        <v>0</v>
      </c>
      <c r="K319">
        <f t="shared" si="37"/>
        <v>12.113825945861837</v>
      </c>
      <c r="L319" s="19">
        <f t="shared" si="31"/>
        <v>914.643254137442</v>
      </c>
      <c r="M319">
        <v>0</v>
      </c>
      <c r="N319">
        <v>0</v>
      </c>
      <c r="O319" s="24" t="s">
        <v>102</v>
      </c>
    </row>
    <row r="320" spans="2:15" ht="12.75">
      <c r="B320">
        <v>32</v>
      </c>
      <c r="C320" s="14">
        <f t="shared" si="33"/>
        <v>22.999999999999996</v>
      </c>
      <c r="D320">
        <v>-1</v>
      </c>
      <c r="E320" s="19">
        <f t="shared" si="30"/>
        <v>23.499999999999996</v>
      </c>
      <c r="F320" s="19">
        <f t="shared" si="35"/>
        <v>-162.116699832689</v>
      </c>
      <c r="G320" s="19">
        <f>PERCENTILE($H$237:$H$238,1-PERCENTRANK($A$237:$A$238,C320))</f>
        <v>-162.116699832689</v>
      </c>
      <c r="H320" s="19">
        <f t="shared" si="36"/>
        <v>0.20075044726168098</v>
      </c>
      <c r="I320" s="19">
        <f t="shared" si="34"/>
        <v>85.92322098717702</v>
      </c>
      <c r="J320">
        <v>0</v>
      </c>
      <c r="K320">
        <f t="shared" si="37"/>
        <v>1.3119360943042964</v>
      </c>
      <c r="L320" s="19">
        <f t="shared" si="31"/>
        <v>915.9551902317463</v>
      </c>
      <c r="M320">
        <v>0</v>
      </c>
      <c r="N320">
        <v>0</v>
      </c>
      <c r="O320" t="s">
        <v>106</v>
      </c>
    </row>
    <row r="321" spans="2:15" ht="12.75">
      <c r="B321">
        <v>33</v>
      </c>
      <c r="C321" s="14">
        <f t="shared" si="33"/>
        <v>17.999999999999996</v>
      </c>
      <c r="D321">
        <v>-5</v>
      </c>
      <c r="E321" s="19">
        <f t="shared" si="30"/>
        <v>20.499999999999996</v>
      </c>
      <c r="F321" s="19">
        <f t="shared" si="35"/>
        <v>-161.29623083763792</v>
      </c>
      <c r="G321" s="19">
        <f>PERCENTILE($H$243:$H$244,1-PERCENTRANK($A$243:$A$244,C321))</f>
        <v>-161.29623083763792</v>
      </c>
      <c r="H321" s="19">
        <f t="shared" si="36"/>
        <v>1.0088580443259105</v>
      </c>
      <c r="I321" s="19">
        <f t="shared" si="34"/>
        <v>86.93207903150292</v>
      </c>
      <c r="J321">
        <v>0</v>
      </c>
      <c r="K321">
        <f t="shared" si="37"/>
        <v>5.751382070011333</v>
      </c>
      <c r="L321" s="19">
        <f t="shared" si="31"/>
        <v>921.7065723017577</v>
      </c>
      <c r="M321">
        <v>0</v>
      </c>
      <c r="N321">
        <v>0</v>
      </c>
      <c r="O321" t="s">
        <v>107</v>
      </c>
    </row>
    <row r="322" spans="2:15" ht="12.75">
      <c r="B322">
        <v>34</v>
      </c>
      <c r="C322" s="14">
        <f t="shared" si="33"/>
        <v>12.999999999999996</v>
      </c>
      <c r="D322">
        <v>-5</v>
      </c>
      <c r="E322" s="19">
        <f t="shared" si="30"/>
        <v>15.499999999999996</v>
      </c>
      <c r="F322" s="19">
        <f t="shared" si="35"/>
        <v>-160.8948528346347</v>
      </c>
      <c r="G322" s="19">
        <f>PERCENTILE($H$245:$H$246,1-PERCENTRANK($A$245:$A$246,C322))</f>
        <v>-160.8948528346347</v>
      </c>
      <c r="H322" s="19">
        <f t="shared" si="36"/>
        <v>1.011374802444714</v>
      </c>
      <c r="I322" s="19">
        <f t="shared" si="34"/>
        <v>87.94345383394764</v>
      </c>
      <c r="J322">
        <v>0</v>
      </c>
      <c r="K322">
        <f t="shared" si="37"/>
        <v>4.359454250043053</v>
      </c>
      <c r="L322" s="19">
        <f t="shared" si="31"/>
        <v>926.0660265518007</v>
      </c>
      <c r="M322">
        <v>0</v>
      </c>
      <c r="N322">
        <v>0</v>
      </c>
      <c r="O322" t="s">
        <v>107</v>
      </c>
    </row>
    <row r="323" spans="2:15" ht="12.75">
      <c r="B323">
        <v>35</v>
      </c>
      <c r="C323" s="14">
        <f t="shared" si="33"/>
        <v>7.9999999999999964</v>
      </c>
      <c r="D323">
        <v>-5</v>
      </c>
      <c r="E323" s="19">
        <f t="shared" si="30"/>
        <v>10.499999999999996</v>
      </c>
      <c r="F323" s="19">
        <f t="shared" si="35"/>
        <v>-160.54994929174902</v>
      </c>
      <c r="G323" s="19">
        <f>PERCENTILE($H$245:$H$246,1-PERCENTRANK($A$245:$A$246,C323))</f>
        <v>-160.54994929174902</v>
      </c>
      <c r="H323" s="19">
        <f t="shared" si="36"/>
        <v>1.0135475016830962</v>
      </c>
      <c r="I323" s="19">
        <f t="shared" si="34"/>
        <v>88.95700133563074</v>
      </c>
      <c r="J323">
        <v>0</v>
      </c>
      <c r="K323">
        <f t="shared" si="37"/>
        <v>2.9595228905152875</v>
      </c>
      <c r="L323" s="19">
        <f t="shared" si="31"/>
        <v>929.025549442316</v>
      </c>
      <c r="M323">
        <v>0</v>
      </c>
      <c r="N323">
        <v>0</v>
      </c>
      <c r="O323" t="s">
        <v>107</v>
      </c>
    </row>
    <row r="324" spans="2:15" ht="12.75">
      <c r="B324">
        <v>36</v>
      </c>
      <c r="C324" s="14">
        <f t="shared" si="33"/>
        <v>0</v>
      </c>
      <c r="D324">
        <v>-8</v>
      </c>
      <c r="E324" s="19">
        <f t="shared" si="30"/>
        <v>3.9999999999999964</v>
      </c>
      <c r="F324" s="19">
        <f t="shared" si="35"/>
        <v>-160</v>
      </c>
      <c r="G324" s="19">
        <f>PERCENTILE($H$245:$H$246,1-PERCENTRANK($A$245:$A$246,C324))</f>
        <v>-160</v>
      </c>
      <c r="H324" s="19">
        <f t="shared" si="36"/>
        <v>1.62725</v>
      </c>
      <c r="I324" s="19">
        <f t="shared" si="34"/>
        <v>90.58425133563074</v>
      </c>
      <c r="J324">
        <v>0</v>
      </c>
      <c r="K324">
        <f t="shared" si="37"/>
        <v>1.8100999999999983</v>
      </c>
      <c r="L324" s="19">
        <f t="shared" si="31"/>
        <v>930.835649442316</v>
      </c>
      <c r="M324">
        <v>0</v>
      </c>
      <c r="N324">
        <v>0</v>
      </c>
      <c r="O324" t="s">
        <v>107</v>
      </c>
    </row>
    <row r="330" spans="3:10" ht="12.75">
      <c r="C330" t="s">
        <v>108</v>
      </c>
      <c r="J330" t="s">
        <v>109</v>
      </c>
    </row>
    <row r="331" spans="3:11" ht="12.75">
      <c r="C331">
        <v>0</v>
      </c>
      <c r="D331">
        <f>$L$298</f>
        <v>120.052357275481</v>
      </c>
      <c r="E331">
        <f>$L$302</f>
        <v>320.11621379976833</v>
      </c>
      <c r="F331">
        <f>$L$308</f>
        <v>620.0281895228399</v>
      </c>
      <c r="G331">
        <f>$L$313</f>
        <v>830.0282280779957</v>
      </c>
      <c r="H331">
        <f>$L$324</f>
        <v>930.835649442316</v>
      </c>
      <c r="J331">
        <f>J289+5</f>
        <v>445</v>
      </c>
      <c r="K331" s="19">
        <f aca="true" t="shared" si="38" ref="K331:K336">L289</f>
        <v>0</v>
      </c>
    </row>
    <row r="332" spans="3:11" ht="12.75">
      <c r="C332">
        <v>10</v>
      </c>
      <c r="D332">
        <f aca="true" t="shared" si="39" ref="D332:D343">$L$298</f>
        <v>120.052357275481</v>
      </c>
      <c r="E332">
        <f aca="true" t="shared" si="40" ref="E332:E343">$L$302</f>
        <v>320.11621379976833</v>
      </c>
      <c r="F332">
        <f aca="true" t="shared" si="41" ref="F332:F343">$L$308</f>
        <v>620.0281895228399</v>
      </c>
      <c r="G332">
        <f aca="true" t="shared" si="42" ref="G332:G343">$L$313</f>
        <v>830.0282280779957</v>
      </c>
      <c r="H332">
        <f aca="true" t="shared" si="43" ref="H332:H343">$L$324</f>
        <v>930.835649442316</v>
      </c>
      <c r="J332">
        <f>J290+5</f>
        <v>445</v>
      </c>
      <c r="K332" s="19">
        <f t="shared" si="38"/>
        <v>0.7295966077647362</v>
      </c>
    </row>
    <row r="333" spans="3:11" ht="12.75">
      <c r="C333">
        <v>20</v>
      </c>
      <c r="D333">
        <f t="shared" si="39"/>
        <v>120.052357275481</v>
      </c>
      <c r="E333">
        <f t="shared" si="40"/>
        <v>320.11621379976833</v>
      </c>
      <c r="F333">
        <f t="shared" si="41"/>
        <v>620.0281895228399</v>
      </c>
      <c r="G333">
        <f t="shared" si="42"/>
        <v>830.0282280779957</v>
      </c>
      <c r="H333">
        <f t="shared" si="43"/>
        <v>930.835649442316</v>
      </c>
      <c r="J333">
        <f>J291+5</f>
        <v>445</v>
      </c>
      <c r="K333" s="19">
        <f t="shared" si="38"/>
        <v>2.918386431058945</v>
      </c>
    </row>
    <row r="334" spans="3:11" ht="12.75">
      <c r="C334">
        <v>30</v>
      </c>
      <c r="D334">
        <f t="shared" si="39"/>
        <v>120.052357275481</v>
      </c>
      <c r="E334">
        <f t="shared" si="40"/>
        <v>320.11621379976833</v>
      </c>
      <c r="F334">
        <f t="shared" si="41"/>
        <v>620.0281895228399</v>
      </c>
      <c r="G334">
        <f t="shared" si="42"/>
        <v>830.0282280779957</v>
      </c>
      <c r="H334">
        <f t="shared" si="43"/>
        <v>930.835649442316</v>
      </c>
      <c r="J334">
        <f>J292+5</f>
        <v>445</v>
      </c>
      <c r="K334" s="19">
        <f t="shared" si="38"/>
        <v>6.323170600627714</v>
      </c>
    </row>
    <row r="335" spans="3:11" ht="12.75">
      <c r="C335">
        <v>40</v>
      </c>
      <c r="D335">
        <f t="shared" si="39"/>
        <v>120.052357275481</v>
      </c>
      <c r="E335">
        <f t="shared" si="40"/>
        <v>320.11621379976833</v>
      </c>
      <c r="F335">
        <f t="shared" si="41"/>
        <v>620.0281895228399</v>
      </c>
      <c r="G335">
        <f t="shared" si="42"/>
        <v>830.0282280779957</v>
      </c>
      <c r="H335">
        <f t="shared" si="43"/>
        <v>930.835649442316</v>
      </c>
      <c r="J335">
        <f>J293+5</f>
        <v>298.2</v>
      </c>
      <c r="K335" s="19">
        <f t="shared" si="38"/>
        <v>14.192451123551331</v>
      </c>
    </row>
    <row r="336" spans="3:11" ht="12.75">
      <c r="C336">
        <v>50</v>
      </c>
      <c r="D336">
        <f t="shared" si="39"/>
        <v>120.052357275481</v>
      </c>
      <c r="E336">
        <f t="shared" si="40"/>
        <v>320.11621379976833</v>
      </c>
      <c r="F336">
        <f t="shared" si="41"/>
        <v>620.0281895228399</v>
      </c>
      <c r="G336">
        <f t="shared" si="42"/>
        <v>830.0282280779957</v>
      </c>
      <c r="H336">
        <f t="shared" si="43"/>
        <v>930.835649442316</v>
      </c>
      <c r="J336">
        <v>205</v>
      </c>
      <c r="K336" s="19">
        <f t="shared" si="38"/>
        <v>19.940524287251048</v>
      </c>
    </row>
    <row r="337" spans="3:11" ht="12.75">
      <c r="C337">
        <v>60</v>
      </c>
      <c r="D337">
        <f t="shared" si="39"/>
        <v>120.052357275481</v>
      </c>
      <c r="E337">
        <f t="shared" si="40"/>
        <v>320.11621379976833</v>
      </c>
      <c r="F337">
        <f t="shared" si="41"/>
        <v>620.0281895228399</v>
      </c>
      <c r="G337">
        <f t="shared" si="42"/>
        <v>830.0282280779957</v>
      </c>
      <c r="H337">
        <f t="shared" si="43"/>
        <v>930.835649442316</v>
      </c>
      <c r="J337">
        <v>365</v>
      </c>
      <c r="K337" s="19">
        <f>L294</f>
        <v>19.940524287251048</v>
      </c>
    </row>
    <row r="338" spans="3:11" ht="12.75">
      <c r="C338">
        <v>70</v>
      </c>
      <c r="D338">
        <f t="shared" si="39"/>
        <v>120.052357275481</v>
      </c>
      <c r="E338">
        <f t="shared" si="40"/>
        <v>320.11621379976833</v>
      </c>
      <c r="F338">
        <f t="shared" si="41"/>
        <v>620.0281895228399</v>
      </c>
      <c r="G338">
        <f t="shared" si="42"/>
        <v>830.0282280779957</v>
      </c>
      <c r="H338">
        <f t="shared" si="43"/>
        <v>930.835649442316</v>
      </c>
      <c r="J338">
        <f>J295+5</f>
        <v>200.88</v>
      </c>
      <c r="K338" s="19">
        <f>L295</f>
        <v>41.375673770666566</v>
      </c>
    </row>
    <row r="339" spans="3:11" ht="12.75">
      <c r="C339">
        <v>80</v>
      </c>
      <c r="D339">
        <f t="shared" si="39"/>
        <v>120.052357275481</v>
      </c>
      <c r="E339">
        <f t="shared" si="40"/>
        <v>320.11621379976833</v>
      </c>
      <c r="F339">
        <f t="shared" si="41"/>
        <v>620.0281895228399</v>
      </c>
      <c r="G339">
        <f t="shared" si="42"/>
        <v>830.0282280779957</v>
      </c>
      <c r="H339">
        <f t="shared" si="43"/>
        <v>930.835649442316</v>
      </c>
      <c r="J339">
        <v>125</v>
      </c>
      <c r="K339" s="19">
        <f>L296</f>
        <v>64.43920838699209</v>
      </c>
    </row>
    <row r="340" spans="3:11" ht="12.75">
      <c r="C340">
        <v>90</v>
      </c>
      <c r="D340">
        <f t="shared" si="39"/>
        <v>120.052357275481</v>
      </c>
      <c r="E340">
        <f t="shared" si="40"/>
        <v>320.11621379976833</v>
      </c>
      <c r="F340">
        <f t="shared" si="41"/>
        <v>620.0281895228399</v>
      </c>
      <c r="G340">
        <f t="shared" si="42"/>
        <v>830.0282280779957</v>
      </c>
      <c r="H340">
        <f t="shared" si="43"/>
        <v>930.835649442316</v>
      </c>
      <c r="J340">
        <v>405</v>
      </c>
      <c r="K340" s="19">
        <f aca="true" t="shared" si="44" ref="K340:K348">L296</f>
        <v>64.43920838699209</v>
      </c>
    </row>
    <row r="341" spans="3:11" ht="12.75">
      <c r="C341">
        <v>100</v>
      </c>
      <c r="D341">
        <f t="shared" si="39"/>
        <v>120.052357275481</v>
      </c>
      <c r="E341">
        <f t="shared" si="40"/>
        <v>320.11621379976833</v>
      </c>
      <c r="F341">
        <f t="shared" si="41"/>
        <v>620.0281895228399</v>
      </c>
      <c r="G341">
        <f t="shared" si="42"/>
        <v>830.0282280779957</v>
      </c>
      <c r="H341">
        <f t="shared" si="43"/>
        <v>930.835649442316</v>
      </c>
      <c r="J341">
        <f aca="true" t="shared" si="45" ref="J341:J350">J297+5</f>
        <v>367.4</v>
      </c>
      <c r="K341" s="19">
        <f t="shared" si="44"/>
        <v>94.54866101296795</v>
      </c>
    </row>
    <row r="342" spans="3:11" ht="12.75">
      <c r="C342">
        <v>110</v>
      </c>
      <c r="D342">
        <f t="shared" si="39"/>
        <v>120.052357275481</v>
      </c>
      <c r="E342">
        <f t="shared" si="40"/>
        <v>320.11621379976833</v>
      </c>
      <c r="F342">
        <f t="shared" si="41"/>
        <v>620.0281895228399</v>
      </c>
      <c r="G342">
        <f t="shared" si="42"/>
        <v>830.0282280779957</v>
      </c>
      <c r="H342">
        <f t="shared" si="43"/>
        <v>930.835649442316</v>
      </c>
      <c r="J342">
        <f t="shared" si="45"/>
        <v>331.48</v>
      </c>
      <c r="K342" s="19">
        <f t="shared" si="44"/>
        <v>120.052357275481</v>
      </c>
    </row>
    <row r="343" spans="3:11" ht="12.75">
      <c r="C343">
        <v>120</v>
      </c>
      <c r="D343">
        <f t="shared" si="39"/>
        <v>120.052357275481</v>
      </c>
      <c r="E343">
        <f t="shared" si="40"/>
        <v>320.11621379976833</v>
      </c>
      <c r="F343">
        <f t="shared" si="41"/>
        <v>620.0281895228399</v>
      </c>
      <c r="G343">
        <f t="shared" si="42"/>
        <v>830.0282280779957</v>
      </c>
      <c r="H343">
        <f t="shared" si="43"/>
        <v>930.835649442316</v>
      </c>
      <c r="J343">
        <f t="shared" si="45"/>
        <v>286.32</v>
      </c>
      <c r="K343" s="19">
        <f t="shared" si="44"/>
        <v>162.95067179865754</v>
      </c>
    </row>
    <row r="344" spans="10:11" ht="12.75">
      <c r="J344">
        <f t="shared" si="45"/>
        <v>251.04</v>
      </c>
      <c r="K344" s="19">
        <f t="shared" si="44"/>
        <v>220.48087941886928</v>
      </c>
    </row>
    <row r="345" spans="10:11" ht="12.75">
      <c r="J345">
        <f t="shared" si="45"/>
        <v>230.88</v>
      </c>
      <c r="K345" s="19">
        <f t="shared" si="44"/>
        <v>290.462791529034</v>
      </c>
    </row>
    <row r="346" spans="10:11" ht="12.75">
      <c r="J346">
        <f t="shared" si="45"/>
        <v>224.56</v>
      </c>
      <c r="K346" s="19">
        <f t="shared" si="44"/>
        <v>320.11621379976833</v>
      </c>
    </row>
    <row r="347" spans="10:11" ht="12.75">
      <c r="J347">
        <f t="shared" si="45"/>
        <v>204.56</v>
      </c>
      <c r="K347" s="19">
        <f t="shared" si="44"/>
        <v>432.14773044018284</v>
      </c>
    </row>
    <row r="348" spans="10:11" ht="12.75">
      <c r="J348">
        <f t="shared" si="45"/>
        <v>195.2</v>
      </c>
      <c r="K348" s="19">
        <f t="shared" si="44"/>
        <v>520.4465466208078</v>
      </c>
    </row>
    <row r="349" spans="10:11" ht="12.75">
      <c r="J349">
        <f t="shared" si="45"/>
        <v>5</v>
      </c>
      <c r="K349" s="19">
        <v>520.45</v>
      </c>
    </row>
    <row r="350" spans="10:11" ht="12.75">
      <c r="J350">
        <f t="shared" si="45"/>
        <v>5</v>
      </c>
      <c r="K350" s="19">
        <f>L324</f>
        <v>930.835649442316</v>
      </c>
    </row>
    <row r="353" ht="12.75">
      <c r="A353">
        <v>6</v>
      </c>
    </row>
    <row r="354" ht="12.75">
      <c r="A354">
        <v>6</v>
      </c>
    </row>
    <row r="355" ht="12.75">
      <c r="A355">
        <v>6.1</v>
      </c>
    </row>
    <row r="358" spans="2:8" ht="12.75">
      <c r="B358" s="31" t="s">
        <v>84</v>
      </c>
      <c r="C358" s="31" t="s">
        <v>14</v>
      </c>
      <c r="D358" s="31"/>
      <c r="E358" s="31"/>
      <c r="F358" s="31" t="s">
        <v>110</v>
      </c>
      <c r="G358" s="31" t="s">
        <v>111</v>
      </c>
      <c r="H358" s="31" t="s">
        <v>112</v>
      </c>
    </row>
    <row r="359" spans="2:8" ht="12.75">
      <c r="B359" s="31"/>
      <c r="C359" s="6" t="s">
        <v>113</v>
      </c>
      <c r="D359" s="6" t="s">
        <v>114</v>
      </c>
      <c r="E359" s="6" t="s">
        <v>115</v>
      </c>
      <c r="F359" s="31"/>
      <c r="G359" s="31"/>
      <c r="H359" s="31"/>
    </row>
    <row r="360" spans="2:8" ht="12.75">
      <c r="B360">
        <v>1</v>
      </c>
      <c r="C360">
        <f>J289</f>
        <v>440</v>
      </c>
      <c r="D360">
        <f>J290</f>
        <v>440</v>
      </c>
      <c r="E360">
        <f>(C360+D360)/2</f>
        <v>440</v>
      </c>
      <c r="F360" s="19">
        <f>H289</f>
        <v>0</v>
      </c>
      <c r="G360">
        <v>550</v>
      </c>
      <c r="H360">
        <f>(G360/3600)*F360*E360</f>
        <v>0</v>
      </c>
    </row>
    <row r="361" spans="2:8" ht="12.75">
      <c r="B361">
        <v>2</v>
      </c>
      <c r="C361">
        <f>J290</f>
        <v>440</v>
      </c>
      <c r="D361">
        <f>J291</f>
        <v>440</v>
      </c>
      <c r="E361">
        <f aca="true" t="shared" si="46" ref="E361:E395">(C361+D361)/2</f>
        <v>440</v>
      </c>
      <c r="F361" s="19">
        <f aca="true" t="shared" si="47" ref="F361:F395">H290</f>
        <v>1.0494324777505484</v>
      </c>
      <c r="G361">
        <v>550</v>
      </c>
      <c r="H361" s="19">
        <f aca="true" t="shared" si="48" ref="H361:H395">(G361/3600)*F361*E361</f>
        <v>70.54518322656465</v>
      </c>
    </row>
    <row r="362" spans="2:8" ht="12.75">
      <c r="B362">
        <v>3</v>
      </c>
      <c r="C362">
        <f>J291</f>
        <v>440</v>
      </c>
      <c r="D362">
        <f>J292</f>
        <v>440</v>
      </c>
      <c r="E362">
        <f t="shared" si="46"/>
        <v>440</v>
      </c>
      <c r="F362" s="19">
        <f t="shared" si="47"/>
        <v>1.0494324777505484</v>
      </c>
      <c r="G362">
        <v>550</v>
      </c>
      <c r="H362" s="19">
        <f t="shared" si="48"/>
        <v>70.54518322656465</v>
      </c>
    </row>
    <row r="363" spans="2:8" ht="12.75">
      <c r="B363">
        <v>4</v>
      </c>
      <c r="C363">
        <f>J292</f>
        <v>440</v>
      </c>
      <c r="D363">
        <f>J293</f>
        <v>293.2</v>
      </c>
      <c r="E363">
        <f t="shared" si="46"/>
        <v>366.6</v>
      </c>
      <c r="F363" s="19">
        <f t="shared" si="47"/>
        <v>1.0494324777505484</v>
      </c>
      <c r="G363">
        <v>550</v>
      </c>
      <c r="H363" s="19">
        <f t="shared" si="48"/>
        <v>58.77696402467864</v>
      </c>
    </row>
    <row r="364" spans="2:8" ht="12.75">
      <c r="B364">
        <v>5</v>
      </c>
      <c r="C364">
        <f>J293</f>
        <v>293.2</v>
      </c>
      <c r="D364">
        <v>200</v>
      </c>
      <c r="E364">
        <f t="shared" si="46"/>
        <v>246.6</v>
      </c>
      <c r="F364" s="19">
        <f t="shared" si="47"/>
        <v>1.616995017598391</v>
      </c>
      <c r="G364">
        <v>550</v>
      </c>
      <c r="H364" s="19">
        <f t="shared" si="48"/>
        <v>60.92028728801938</v>
      </c>
    </row>
    <row r="365" spans="2:8" ht="12.75">
      <c r="B365">
        <v>6</v>
      </c>
      <c r="C365">
        <v>360</v>
      </c>
      <c r="D365">
        <f>J295</f>
        <v>195.88</v>
      </c>
      <c r="E365">
        <f t="shared" si="46"/>
        <v>277.94</v>
      </c>
      <c r="F365" s="19">
        <f t="shared" si="47"/>
        <v>0.9704080422636745</v>
      </c>
      <c r="G365">
        <v>550</v>
      </c>
      <c r="H365" s="19">
        <f t="shared" si="48"/>
        <v>41.20649061020032</v>
      </c>
    </row>
    <row r="366" spans="2:8" ht="12.75">
      <c r="B366">
        <v>7</v>
      </c>
      <c r="C366">
        <f>J295</f>
        <v>195.88</v>
      </c>
      <c r="D366">
        <v>120</v>
      </c>
      <c r="E366">
        <f t="shared" si="46"/>
        <v>157.94</v>
      </c>
      <c r="F366" s="19">
        <f t="shared" si="47"/>
        <v>3.046615859398322</v>
      </c>
      <c r="G366">
        <v>550</v>
      </c>
      <c r="H366" s="19">
        <f t="shared" si="48"/>
        <v>73.51399440509834</v>
      </c>
    </row>
    <row r="367" spans="2:8" ht="12.75">
      <c r="B367">
        <v>8</v>
      </c>
      <c r="C367">
        <v>400</v>
      </c>
      <c r="D367">
        <f>J297</f>
        <v>362.4</v>
      </c>
      <c r="E367">
        <f t="shared" si="46"/>
        <v>381.2</v>
      </c>
      <c r="F367" s="19">
        <f t="shared" si="47"/>
        <v>2.7644982195765038</v>
      </c>
      <c r="G367">
        <v>550</v>
      </c>
      <c r="H367" s="19">
        <f t="shared" si="48"/>
        <v>161.00130464344716</v>
      </c>
    </row>
    <row r="368" spans="2:8" ht="12.75">
      <c r="B368">
        <v>9</v>
      </c>
      <c r="C368">
        <f>J297</f>
        <v>362.4</v>
      </c>
      <c r="D368">
        <f aca="true" t="shared" si="49" ref="D368:D374">J298</f>
        <v>326.48</v>
      </c>
      <c r="E368">
        <f t="shared" si="46"/>
        <v>344.44</v>
      </c>
      <c r="F368" s="19">
        <f t="shared" si="47"/>
        <v>3.2080474725967982</v>
      </c>
      <c r="G368">
        <v>550</v>
      </c>
      <c r="H368" s="19">
        <f t="shared" si="48"/>
        <v>168.81636925102296</v>
      </c>
    </row>
    <row r="369" spans="2:8" ht="12.75">
      <c r="B369">
        <v>10</v>
      </c>
      <c r="C369">
        <f aca="true" t="shared" si="50" ref="C369:C374">J298</f>
        <v>326.48</v>
      </c>
      <c r="D369">
        <f t="shared" si="49"/>
        <v>281.32</v>
      </c>
      <c r="E369">
        <f t="shared" si="46"/>
        <v>303.9</v>
      </c>
      <c r="F369" s="19">
        <f t="shared" si="47"/>
        <v>2.5012847848488406</v>
      </c>
      <c r="G369">
        <v>550</v>
      </c>
      <c r="H369" s="19">
        <f t="shared" si="48"/>
        <v>116.13256815654431</v>
      </c>
    </row>
    <row r="370" spans="2:8" ht="12.75">
      <c r="B370">
        <v>11</v>
      </c>
      <c r="C370">
        <f t="shared" si="50"/>
        <v>281.32</v>
      </c>
      <c r="D370">
        <f t="shared" si="49"/>
        <v>246.04</v>
      </c>
      <c r="E370">
        <f t="shared" si="46"/>
        <v>263.68</v>
      </c>
      <c r="F370" s="19">
        <f t="shared" si="47"/>
        <v>3.8998737093940625</v>
      </c>
      <c r="G370">
        <v>550</v>
      </c>
      <c r="H370" s="19">
        <f t="shared" si="48"/>
        <v>157.1042457864346</v>
      </c>
    </row>
    <row r="371" spans="2:8" ht="12.75">
      <c r="B371">
        <v>12</v>
      </c>
      <c r="C371">
        <f t="shared" si="50"/>
        <v>246.04</v>
      </c>
      <c r="D371">
        <f t="shared" si="49"/>
        <v>225.88</v>
      </c>
      <c r="E371">
        <f t="shared" si="46"/>
        <v>235.95999999999998</v>
      </c>
      <c r="F371" s="19">
        <f t="shared" si="47"/>
        <v>4.807688249331653</v>
      </c>
      <c r="G371">
        <v>550</v>
      </c>
      <c r="H371" s="19">
        <f t="shared" si="48"/>
        <v>173.31449045048979</v>
      </c>
    </row>
    <row r="372" spans="2:8" ht="12.75">
      <c r="B372">
        <v>13</v>
      </c>
      <c r="C372">
        <f t="shared" si="50"/>
        <v>225.88</v>
      </c>
      <c r="D372">
        <f t="shared" si="49"/>
        <v>219.56</v>
      </c>
      <c r="E372">
        <f t="shared" si="46"/>
        <v>222.72</v>
      </c>
      <c r="F372" s="19">
        <f t="shared" si="47"/>
        <v>5.437561192403955</v>
      </c>
      <c r="G372">
        <v>550</v>
      </c>
      <c r="H372" s="19">
        <f t="shared" si="48"/>
        <v>185.0220821735319</v>
      </c>
    </row>
    <row r="373" spans="2:8" ht="12.75">
      <c r="B373">
        <v>14</v>
      </c>
      <c r="C373">
        <f t="shared" si="50"/>
        <v>219.56</v>
      </c>
      <c r="D373">
        <f t="shared" si="49"/>
        <v>199.56</v>
      </c>
      <c r="E373">
        <f t="shared" si="46"/>
        <v>209.56</v>
      </c>
      <c r="F373" s="19">
        <f t="shared" si="47"/>
        <v>2.207011221655908</v>
      </c>
      <c r="G373">
        <v>550</v>
      </c>
      <c r="H373" s="19">
        <f t="shared" si="48"/>
        <v>70.65991649600463</v>
      </c>
    </row>
    <row r="374" spans="2:8" ht="12.75">
      <c r="B374">
        <v>15</v>
      </c>
      <c r="C374">
        <f t="shared" si="50"/>
        <v>199.56</v>
      </c>
      <c r="D374">
        <f t="shared" si="49"/>
        <v>190.2</v>
      </c>
      <c r="E374">
        <f t="shared" si="46"/>
        <v>194.88</v>
      </c>
      <c r="F374" s="19">
        <f t="shared" si="47"/>
        <v>7.9694941939145405</v>
      </c>
      <c r="G374">
        <v>550</v>
      </c>
      <c r="H374" s="19">
        <f t="shared" si="48"/>
        <v>237.27840713348226</v>
      </c>
    </row>
    <row r="375" spans="2:8" ht="12.75">
      <c r="B375">
        <v>16</v>
      </c>
      <c r="C375">
        <v>5</v>
      </c>
      <c r="D375">
        <v>5</v>
      </c>
      <c r="E375">
        <f t="shared" si="46"/>
        <v>5</v>
      </c>
      <c r="F375" s="19">
        <f t="shared" si="47"/>
        <v>5.9720075</v>
      </c>
      <c r="G375">
        <v>550</v>
      </c>
      <c r="H375" s="19">
        <f t="shared" si="48"/>
        <v>4.561950173611112</v>
      </c>
    </row>
    <row r="376" spans="2:8" ht="12.75">
      <c r="B376">
        <v>17</v>
      </c>
      <c r="C376">
        <v>5</v>
      </c>
      <c r="D376">
        <v>5</v>
      </c>
      <c r="E376">
        <f t="shared" si="46"/>
        <v>5</v>
      </c>
      <c r="F376" s="19">
        <f t="shared" si="47"/>
        <v>1.0496517709042696</v>
      </c>
      <c r="G376">
        <v>550</v>
      </c>
      <c r="H376" s="19">
        <f t="shared" si="48"/>
        <v>0.8018173249963172</v>
      </c>
    </row>
    <row r="377" spans="2:8" ht="12.75">
      <c r="B377">
        <v>18</v>
      </c>
      <c r="C377">
        <v>5</v>
      </c>
      <c r="D377">
        <v>5</v>
      </c>
      <c r="E377">
        <f t="shared" si="46"/>
        <v>5</v>
      </c>
      <c r="F377" s="19">
        <f t="shared" si="47"/>
        <v>1.6065866695596154</v>
      </c>
      <c r="G377">
        <v>550</v>
      </c>
      <c r="H377" s="19">
        <f t="shared" si="48"/>
        <v>1.2272537059135953</v>
      </c>
    </row>
    <row r="378" spans="2:8" ht="12.75">
      <c r="B378">
        <v>19</v>
      </c>
      <c r="C378">
        <v>5</v>
      </c>
      <c r="D378">
        <v>5</v>
      </c>
      <c r="E378">
        <f t="shared" si="46"/>
        <v>5</v>
      </c>
      <c r="F378" s="19">
        <f t="shared" si="47"/>
        <v>2.7665759132068737</v>
      </c>
      <c r="G378">
        <v>550</v>
      </c>
      <c r="H378" s="19">
        <f t="shared" si="48"/>
        <v>2.113356600366362</v>
      </c>
    </row>
    <row r="379" spans="2:8" ht="12.75">
      <c r="B379">
        <v>20</v>
      </c>
      <c r="C379">
        <v>5</v>
      </c>
      <c r="D379">
        <v>5</v>
      </c>
      <c r="E379">
        <f t="shared" si="46"/>
        <v>5</v>
      </c>
      <c r="F379" s="19">
        <f t="shared" si="47"/>
        <v>1.7224784504582416</v>
      </c>
      <c r="G379">
        <v>550</v>
      </c>
      <c r="H379" s="19">
        <f t="shared" si="48"/>
        <v>1.3157821496556013</v>
      </c>
    </row>
    <row r="380" spans="2:8" ht="12.75">
      <c r="B380">
        <v>21</v>
      </c>
      <c r="C380">
        <v>5</v>
      </c>
      <c r="D380">
        <v>5</v>
      </c>
      <c r="E380">
        <f t="shared" si="46"/>
        <v>5</v>
      </c>
      <c r="F380" s="19">
        <f t="shared" si="47"/>
        <v>2.551980203041963</v>
      </c>
      <c r="G380">
        <v>550</v>
      </c>
      <c r="H380" s="19">
        <f t="shared" si="48"/>
        <v>1.9494293217681666</v>
      </c>
    </row>
    <row r="381" spans="2:8" ht="12.75">
      <c r="B381">
        <v>22</v>
      </c>
      <c r="C381">
        <v>5</v>
      </c>
      <c r="D381">
        <v>5</v>
      </c>
      <c r="E381">
        <f t="shared" si="46"/>
        <v>5</v>
      </c>
      <c r="F381" s="19">
        <f t="shared" si="47"/>
        <v>6.0067651148257175</v>
      </c>
      <c r="G381">
        <v>550</v>
      </c>
      <c r="H381" s="19">
        <f t="shared" si="48"/>
        <v>4.588501129380757</v>
      </c>
    </row>
    <row r="382" spans="2:8" ht="12.75">
      <c r="B382">
        <v>23</v>
      </c>
      <c r="C382">
        <v>5</v>
      </c>
      <c r="D382">
        <v>5</v>
      </c>
      <c r="E382">
        <f t="shared" si="46"/>
        <v>5</v>
      </c>
      <c r="F382" s="19">
        <f t="shared" si="47"/>
        <v>7.700971720240303</v>
      </c>
      <c r="G382">
        <v>550</v>
      </c>
      <c r="H382" s="19">
        <f t="shared" si="48"/>
        <v>5.88268673073912</v>
      </c>
    </row>
    <row r="383" spans="2:8" ht="12.75">
      <c r="B383">
        <v>24</v>
      </c>
      <c r="C383">
        <v>5</v>
      </c>
      <c r="D383">
        <v>5</v>
      </c>
      <c r="E383">
        <f t="shared" si="46"/>
        <v>5</v>
      </c>
      <c r="F383" s="19">
        <f t="shared" si="47"/>
        <v>2.179924703973862</v>
      </c>
      <c r="G383">
        <v>550</v>
      </c>
      <c r="H383" s="19">
        <f t="shared" si="48"/>
        <v>1.6652202599800336</v>
      </c>
    </row>
    <row r="384" spans="2:8" ht="12.75">
      <c r="B384">
        <v>25</v>
      </c>
      <c r="C384">
        <v>5</v>
      </c>
      <c r="D384">
        <v>5</v>
      </c>
      <c r="E384">
        <f t="shared" si="46"/>
        <v>5</v>
      </c>
      <c r="F384" s="19">
        <f t="shared" si="47"/>
        <v>1.4026456643030794</v>
      </c>
      <c r="G384">
        <v>550</v>
      </c>
      <c r="H384" s="19">
        <f t="shared" si="48"/>
        <v>1.0714654380092967</v>
      </c>
    </row>
    <row r="385" spans="2:8" ht="12.75">
      <c r="B385">
        <v>26</v>
      </c>
      <c r="C385">
        <v>5</v>
      </c>
      <c r="D385">
        <v>5</v>
      </c>
      <c r="E385">
        <f t="shared" si="46"/>
        <v>5</v>
      </c>
      <c r="F385" s="19">
        <f t="shared" si="47"/>
        <v>2.487124784103926</v>
      </c>
      <c r="G385">
        <v>550</v>
      </c>
      <c r="H385" s="19">
        <f t="shared" si="48"/>
        <v>1.8998869878571658</v>
      </c>
    </row>
    <row r="386" spans="2:8" ht="12.75">
      <c r="B386">
        <v>27</v>
      </c>
      <c r="C386">
        <v>5</v>
      </c>
      <c r="D386">
        <v>5</v>
      </c>
      <c r="E386">
        <f t="shared" si="46"/>
        <v>5</v>
      </c>
      <c r="F386" s="19">
        <f t="shared" si="47"/>
        <v>1.7006399496888338</v>
      </c>
      <c r="G386">
        <v>550</v>
      </c>
      <c r="H386" s="19">
        <f t="shared" si="48"/>
        <v>1.2990999615678591</v>
      </c>
    </row>
    <row r="387" spans="2:8" ht="12.75">
      <c r="B387">
        <v>28</v>
      </c>
      <c r="C387">
        <v>5</v>
      </c>
      <c r="D387">
        <v>5</v>
      </c>
      <c r="E387">
        <f t="shared" si="46"/>
        <v>5</v>
      </c>
      <c r="F387" s="19">
        <f t="shared" si="47"/>
        <v>1.7202406412899698</v>
      </c>
      <c r="G387">
        <v>550</v>
      </c>
      <c r="H387" s="19">
        <f t="shared" si="48"/>
        <v>1.3140727120965048</v>
      </c>
    </row>
    <row r="388" spans="2:8" ht="12.75">
      <c r="B388">
        <v>29</v>
      </c>
      <c r="C388">
        <v>5</v>
      </c>
      <c r="D388">
        <v>5</v>
      </c>
      <c r="E388">
        <f t="shared" si="46"/>
        <v>5</v>
      </c>
      <c r="F388" s="19">
        <f t="shared" si="47"/>
        <v>1.7399734342416397</v>
      </c>
      <c r="G388">
        <v>550</v>
      </c>
      <c r="H388" s="19">
        <f t="shared" si="48"/>
        <v>1.3291463733790305</v>
      </c>
    </row>
    <row r="389" spans="2:8" ht="12.75">
      <c r="B389">
        <v>30</v>
      </c>
      <c r="C389">
        <v>5</v>
      </c>
      <c r="D389">
        <v>5</v>
      </c>
      <c r="E389">
        <f t="shared" si="46"/>
        <v>5</v>
      </c>
      <c r="F389" s="19">
        <f t="shared" si="47"/>
        <v>1.7591483097183849</v>
      </c>
      <c r="G389">
        <v>550</v>
      </c>
      <c r="H389" s="19">
        <f t="shared" si="48"/>
        <v>1.343793847701544</v>
      </c>
    </row>
    <row r="390" spans="2:8" ht="12.75">
      <c r="B390">
        <v>31</v>
      </c>
      <c r="C390">
        <v>5</v>
      </c>
      <c r="D390">
        <v>5</v>
      </c>
      <c r="E390">
        <f t="shared" si="46"/>
        <v>5</v>
      </c>
      <c r="F390" s="19">
        <f t="shared" si="47"/>
        <v>1.7779803141243684</v>
      </c>
      <c r="G390">
        <v>550</v>
      </c>
      <c r="H390" s="19">
        <f t="shared" si="48"/>
        <v>1.3581794066227815</v>
      </c>
    </row>
    <row r="391" spans="2:8" ht="12.75">
      <c r="B391">
        <v>32</v>
      </c>
      <c r="C391">
        <v>5</v>
      </c>
      <c r="D391">
        <v>5</v>
      </c>
      <c r="E391">
        <f t="shared" si="46"/>
        <v>5</v>
      </c>
      <c r="F391" s="19">
        <f t="shared" si="47"/>
        <v>0.20075044726168098</v>
      </c>
      <c r="G391">
        <v>550</v>
      </c>
      <c r="H391" s="19">
        <f t="shared" si="48"/>
        <v>0.15335103610267298</v>
      </c>
    </row>
    <row r="392" spans="2:8" ht="12.75">
      <c r="B392">
        <v>33</v>
      </c>
      <c r="C392">
        <v>5</v>
      </c>
      <c r="D392">
        <v>5</v>
      </c>
      <c r="E392">
        <f t="shared" si="46"/>
        <v>5</v>
      </c>
      <c r="F392" s="19">
        <f t="shared" si="47"/>
        <v>1.0088580443259105</v>
      </c>
      <c r="G392">
        <v>550</v>
      </c>
      <c r="H392" s="19">
        <f t="shared" si="48"/>
        <v>0.7706554505267372</v>
      </c>
    </row>
    <row r="393" spans="2:8" ht="12.75">
      <c r="B393">
        <v>34</v>
      </c>
      <c r="C393">
        <v>5</v>
      </c>
      <c r="D393">
        <v>5</v>
      </c>
      <c r="E393">
        <f t="shared" si="46"/>
        <v>5</v>
      </c>
      <c r="F393" s="19">
        <f t="shared" si="47"/>
        <v>1.011374802444714</v>
      </c>
      <c r="G393">
        <v>550</v>
      </c>
      <c r="H393" s="19">
        <f t="shared" si="48"/>
        <v>0.7725779740897122</v>
      </c>
    </row>
    <row r="394" spans="2:8" ht="12.75">
      <c r="B394">
        <v>35</v>
      </c>
      <c r="C394">
        <v>5</v>
      </c>
      <c r="D394">
        <v>5</v>
      </c>
      <c r="E394">
        <f t="shared" si="46"/>
        <v>5</v>
      </c>
      <c r="F394" s="19">
        <f t="shared" si="47"/>
        <v>1.0135475016830962</v>
      </c>
      <c r="G394">
        <v>550</v>
      </c>
      <c r="H394" s="19">
        <f t="shared" si="48"/>
        <v>0.7742376748968096</v>
      </c>
    </row>
    <row r="395" spans="2:8" ht="12.75">
      <c r="B395">
        <v>36</v>
      </c>
      <c r="C395">
        <v>5</v>
      </c>
      <c r="D395">
        <v>5</v>
      </c>
      <c r="E395">
        <f t="shared" si="46"/>
        <v>5</v>
      </c>
      <c r="F395" s="19">
        <f t="shared" si="47"/>
        <v>1.62725</v>
      </c>
      <c r="G395">
        <v>550</v>
      </c>
      <c r="H395" s="19">
        <f t="shared" si="48"/>
        <v>1.2430381944444446</v>
      </c>
    </row>
    <row r="396" spans="7:8" ht="12.75">
      <c r="G396" t="s">
        <v>116</v>
      </c>
      <c r="H396">
        <f>SUM(H360:H395)</f>
        <v>1682.2729893257895</v>
      </c>
    </row>
    <row r="399" ht="12.75">
      <c r="A399">
        <v>6.2</v>
      </c>
    </row>
    <row r="400" spans="1:2" ht="12.75">
      <c r="A400" t="s">
        <v>117</v>
      </c>
      <c r="B400">
        <f>I324</f>
        <v>90.58425133563074</v>
      </c>
    </row>
    <row r="401" spans="1:2" ht="12.75">
      <c r="A401" t="s">
        <v>118</v>
      </c>
      <c r="B401">
        <v>25</v>
      </c>
    </row>
    <row r="402" spans="1:2" ht="12.75">
      <c r="A402" t="s">
        <v>119</v>
      </c>
      <c r="B402">
        <v>1750</v>
      </c>
    </row>
    <row r="403" spans="1:2" ht="12.75">
      <c r="A403" t="s">
        <v>120</v>
      </c>
      <c r="B403">
        <f>ROUND((B402*(I324+B401))/3600,1)</f>
        <v>56.2</v>
      </c>
    </row>
    <row r="405" ht="12.75">
      <c r="A405">
        <v>6.3</v>
      </c>
    </row>
    <row r="406" spans="1:2" ht="12.75">
      <c r="A406" s="6" t="s">
        <v>112</v>
      </c>
      <c r="B406" s="6">
        <f>H396</f>
        <v>1682.2729893257895</v>
      </c>
    </row>
    <row r="407" spans="1:2" ht="12.75">
      <c r="A407" s="27" t="s">
        <v>121</v>
      </c>
      <c r="B407" s="6">
        <v>0.93</v>
      </c>
    </row>
    <row r="408" spans="1:2" ht="12.75">
      <c r="A408" s="27" t="s">
        <v>122</v>
      </c>
      <c r="B408" s="6">
        <v>0.95</v>
      </c>
    </row>
    <row r="409" spans="1:2" ht="12.75">
      <c r="A409" s="6" t="s">
        <v>123</v>
      </c>
      <c r="B409" s="6">
        <f>(B406+B403)/(B407*B408)</f>
        <v>1967.711363130492</v>
      </c>
    </row>
    <row r="410" spans="1:2" ht="12.75">
      <c r="A410" s="6"/>
      <c r="B410" s="6"/>
    </row>
    <row r="411" spans="1:2" ht="12.75">
      <c r="A411" s="6">
        <v>6.4</v>
      </c>
      <c r="B411" s="6"/>
    </row>
    <row r="412" spans="1:2" ht="12.75">
      <c r="A412" s="6" t="s">
        <v>124</v>
      </c>
      <c r="B412" s="17">
        <f>L324</f>
        <v>930.835649442316</v>
      </c>
    </row>
    <row r="413" spans="1:2" ht="12.75">
      <c r="A413" s="6" t="s">
        <v>49</v>
      </c>
      <c r="B413" s="7">
        <f>D128</f>
        <v>178.68915</v>
      </c>
    </row>
    <row r="414" spans="1:2" ht="18">
      <c r="A414" s="28" t="s">
        <v>125</v>
      </c>
      <c r="B414" s="6">
        <f>ROUND(1000*B409/(B412*B413),1)</f>
        <v>11.8</v>
      </c>
    </row>
    <row r="415" spans="1:2" ht="18">
      <c r="A415" s="28" t="s">
        <v>126</v>
      </c>
      <c r="B415" s="6">
        <f>ROUND(B409/B412,1)</f>
        <v>2.1</v>
      </c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>
        <v>7</v>
      </c>
      <c r="B418" s="6"/>
    </row>
    <row r="419" spans="1:2" ht="12.75">
      <c r="A419" s="6" t="s">
        <v>127</v>
      </c>
      <c r="B419" s="17">
        <f>((10515+70*1)*9.81)/1000</f>
        <v>103.83885000000001</v>
      </c>
    </row>
    <row r="420" spans="1:2" ht="12.75">
      <c r="A420" s="6" t="s">
        <v>128</v>
      </c>
      <c r="B420" s="17">
        <f>0.8*1000*B413*0.3</f>
        <v>42885.396</v>
      </c>
    </row>
    <row r="421" spans="1:2" ht="12.75">
      <c r="A421" s="6" t="s">
        <v>129</v>
      </c>
      <c r="B421" s="17">
        <f>0.6*B420</f>
        <v>25731.2376</v>
      </c>
    </row>
    <row r="422" spans="1:2" ht="12.75">
      <c r="A422" s="6" t="s">
        <v>130</v>
      </c>
      <c r="B422" s="17">
        <f>B420/B419</f>
        <v>412.9995276334435</v>
      </c>
    </row>
    <row r="423" spans="1:2" ht="12.75">
      <c r="A423" s="6" t="s">
        <v>131</v>
      </c>
      <c r="B423" s="17">
        <f>B421/B419</f>
        <v>247.7997165800661</v>
      </c>
    </row>
    <row r="426" spans="1:6" ht="12.75">
      <c r="A426" s="30" t="s">
        <v>132</v>
      </c>
      <c r="B426" s="31" t="s">
        <v>133</v>
      </c>
      <c r="C426" s="31"/>
      <c r="D426" s="31"/>
      <c r="E426" s="31"/>
      <c r="F426" s="31"/>
    </row>
    <row r="427" spans="1:6" ht="12.75">
      <c r="A427" s="30"/>
      <c r="B427" s="6" t="s">
        <v>12</v>
      </c>
      <c r="C427" s="6" t="s">
        <v>134</v>
      </c>
      <c r="D427" s="6" t="s">
        <v>135</v>
      </c>
      <c r="E427" s="6" t="s">
        <v>136</v>
      </c>
      <c r="F427" s="6" t="s">
        <v>137</v>
      </c>
    </row>
    <row r="428" spans="1:6" ht="12.75">
      <c r="A428" s="6">
        <v>40</v>
      </c>
      <c r="B428">
        <f>-(16+0.004*A428^2)</f>
        <v>-22.4</v>
      </c>
      <c r="C428" s="16">
        <f>-$B$423</f>
        <v>-247.7997165800661</v>
      </c>
      <c r="D428" s="14">
        <f>-$B$422</f>
        <v>-412.9995276334435</v>
      </c>
      <c r="E428" s="16">
        <f>B428+C428</f>
        <v>-270.1997165800661</v>
      </c>
      <c r="F428" s="16">
        <f>B428+D428</f>
        <v>-435.3995276334435</v>
      </c>
    </row>
    <row r="429" spans="1:6" ht="12.75">
      <c r="A429" s="6">
        <v>35</v>
      </c>
      <c r="B429">
        <f aca="true" t="shared" si="51" ref="B429:B436">-(16+0.004*A429^2)</f>
        <v>-20.9</v>
      </c>
      <c r="C429" s="16">
        <f aca="true" t="shared" si="52" ref="C429:C436">-$B$423</f>
        <v>-247.7997165800661</v>
      </c>
      <c r="D429" s="14">
        <f aca="true" t="shared" si="53" ref="D429:D436">-$B$422</f>
        <v>-412.9995276334435</v>
      </c>
      <c r="E429" s="16">
        <f aca="true" t="shared" si="54" ref="E429:E436">B429+C429</f>
        <v>-268.6997165800661</v>
      </c>
      <c r="F429" s="16">
        <f aca="true" t="shared" si="55" ref="F429:F436">B429+D429</f>
        <v>-433.8995276334435</v>
      </c>
    </row>
    <row r="430" spans="1:6" ht="12.75">
      <c r="A430" s="6">
        <v>30</v>
      </c>
      <c r="B430">
        <f t="shared" si="51"/>
        <v>-19.6</v>
      </c>
      <c r="C430" s="16">
        <f t="shared" si="52"/>
        <v>-247.7997165800661</v>
      </c>
      <c r="D430" s="14">
        <f t="shared" si="53"/>
        <v>-412.9995276334435</v>
      </c>
      <c r="E430" s="16">
        <f t="shared" si="54"/>
        <v>-267.3997165800661</v>
      </c>
      <c r="F430" s="16">
        <f t="shared" si="55"/>
        <v>-432.59952763344353</v>
      </c>
    </row>
    <row r="431" spans="1:6" ht="12.75">
      <c r="A431" s="6">
        <v>25</v>
      </c>
      <c r="B431">
        <f t="shared" si="51"/>
        <v>-18.5</v>
      </c>
      <c r="C431" s="16">
        <f t="shared" si="52"/>
        <v>-247.7997165800661</v>
      </c>
      <c r="D431" s="14">
        <f t="shared" si="53"/>
        <v>-412.9995276334435</v>
      </c>
      <c r="E431" s="16">
        <f t="shared" si="54"/>
        <v>-266.2997165800661</v>
      </c>
      <c r="F431" s="16">
        <f t="shared" si="55"/>
        <v>-431.4995276334435</v>
      </c>
    </row>
    <row r="432" spans="1:6" ht="12.75">
      <c r="A432" s="6">
        <v>20</v>
      </c>
      <c r="B432">
        <f t="shared" si="51"/>
        <v>-17.6</v>
      </c>
      <c r="C432" s="16">
        <f t="shared" si="52"/>
        <v>-247.7997165800661</v>
      </c>
      <c r="D432" s="14">
        <f t="shared" si="53"/>
        <v>-412.9995276334435</v>
      </c>
      <c r="E432" s="16">
        <f t="shared" si="54"/>
        <v>-265.3997165800661</v>
      </c>
      <c r="F432" s="16">
        <f t="shared" si="55"/>
        <v>-430.59952763344353</v>
      </c>
    </row>
    <row r="433" spans="1:6" ht="12.75">
      <c r="A433" s="6">
        <v>15</v>
      </c>
      <c r="B433">
        <f t="shared" si="51"/>
        <v>-16.9</v>
      </c>
      <c r="C433" s="16">
        <f t="shared" si="52"/>
        <v>-247.7997165800661</v>
      </c>
      <c r="D433" s="14">
        <f t="shared" si="53"/>
        <v>-412.9995276334435</v>
      </c>
      <c r="E433" s="16">
        <f t="shared" si="54"/>
        <v>-264.6997165800661</v>
      </c>
      <c r="F433" s="16">
        <f t="shared" si="55"/>
        <v>-429.8995276334435</v>
      </c>
    </row>
    <row r="434" spans="1:6" ht="12.75">
      <c r="A434" s="6">
        <v>10</v>
      </c>
      <c r="B434">
        <f t="shared" si="51"/>
        <v>-16.4</v>
      </c>
      <c r="C434" s="16">
        <f t="shared" si="52"/>
        <v>-247.7997165800661</v>
      </c>
      <c r="D434" s="14">
        <f t="shared" si="53"/>
        <v>-412.9995276334435</v>
      </c>
      <c r="E434" s="16">
        <f t="shared" si="54"/>
        <v>-264.1997165800661</v>
      </c>
      <c r="F434" s="16">
        <f t="shared" si="55"/>
        <v>-429.3995276334435</v>
      </c>
    </row>
    <row r="435" spans="1:6" ht="12.75">
      <c r="A435" s="6">
        <v>5</v>
      </c>
      <c r="B435">
        <f t="shared" si="51"/>
        <v>-16.1</v>
      </c>
      <c r="C435" s="16">
        <f t="shared" si="52"/>
        <v>-247.7997165800661</v>
      </c>
      <c r="D435" s="14">
        <f t="shared" si="53"/>
        <v>-412.9995276334435</v>
      </c>
      <c r="E435" s="16">
        <f t="shared" si="54"/>
        <v>-263.8997165800661</v>
      </c>
      <c r="F435" s="16">
        <f t="shared" si="55"/>
        <v>-429.09952763344353</v>
      </c>
    </row>
    <row r="436" spans="1:6" ht="12.75">
      <c r="A436" s="6">
        <v>0</v>
      </c>
      <c r="B436">
        <f t="shared" si="51"/>
        <v>-16</v>
      </c>
      <c r="C436" s="16">
        <f t="shared" si="52"/>
        <v>-247.7997165800661</v>
      </c>
      <c r="D436" s="14">
        <f t="shared" si="53"/>
        <v>-412.9995276334435</v>
      </c>
      <c r="E436" s="16">
        <f t="shared" si="54"/>
        <v>-263.7997165800661</v>
      </c>
      <c r="F436" s="16">
        <f t="shared" si="55"/>
        <v>-428.9995276334435</v>
      </c>
    </row>
    <row r="440" ht="12.75">
      <c r="A440" t="s">
        <v>145</v>
      </c>
    </row>
    <row r="441" spans="1:9" ht="15">
      <c r="A441" s="6" t="s">
        <v>139</v>
      </c>
      <c r="B441" s="6" t="s">
        <v>85</v>
      </c>
      <c r="C441" s="25" t="s">
        <v>140</v>
      </c>
      <c r="D441" s="25" t="s">
        <v>141</v>
      </c>
      <c r="E441" s="25" t="s">
        <v>88</v>
      </c>
      <c r="F441" s="6" t="s">
        <v>142</v>
      </c>
      <c r="G441" s="6" t="s">
        <v>90</v>
      </c>
      <c r="H441" s="6" t="s">
        <v>143</v>
      </c>
      <c r="I441" s="6" t="s">
        <v>93</v>
      </c>
    </row>
    <row r="442" spans="1:9" ht="12.75">
      <c r="A442" s="6">
        <v>1</v>
      </c>
      <c r="B442" s="6">
        <v>40</v>
      </c>
      <c r="C442" s="6" t="s">
        <v>144</v>
      </c>
      <c r="D442" s="6" t="s">
        <v>144</v>
      </c>
      <c r="E442" s="6"/>
      <c r="F442" s="6"/>
      <c r="G442" s="6">
        <v>0.5</v>
      </c>
      <c r="H442" s="6"/>
      <c r="I442" s="6">
        <v>5.6</v>
      </c>
    </row>
    <row r="443" spans="1:9" ht="12.75">
      <c r="A443" s="26">
        <v>2</v>
      </c>
      <c r="B443" s="6">
        <v>35</v>
      </c>
      <c r="C443" s="6">
        <v>-5</v>
      </c>
      <c r="D443" s="6">
        <f>(B442+B443)/2</f>
        <v>37.5</v>
      </c>
      <c r="E443" s="6">
        <f>PERCENTILE(E428:E429,1-PERCENTRANK(A428:A429,D455))</f>
        <v>-269.4497165800661</v>
      </c>
      <c r="F443" s="6">
        <f>(28.3*(1+1.15))*(C443/E443)</f>
        <v>1.1290603822535497</v>
      </c>
      <c r="G443" s="6">
        <f>G442+F443</f>
        <v>1.6290603822535497</v>
      </c>
      <c r="H443" s="6">
        <f>(7.87*(1+1.15))*C443*(D443/E443)</f>
        <v>11.774344357334941</v>
      </c>
      <c r="I443" s="6">
        <f>I442+H443</f>
        <v>17.37434435733494</v>
      </c>
    </row>
    <row r="444" spans="1:9" ht="12.75">
      <c r="A444" s="6">
        <v>3</v>
      </c>
      <c r="B444" s="6">
        <v>30</v>
      </c>
      <c r="C444" s="6">
        <v>-5</v>
      </c>
      <c r="D444" s="6">
        <f aca="true" t="shared" si="56" ref="D444:D450">(B443+B444)/2</f>
        <v>32.5</v>
      </c>
      <c r="E444" s="6">
        <f aca="true" t="shared" si="57" ref="E444:E450">PERCENTILE(E429:E430,1-PERCENTRANK(A429:A430,D456))</f>
        <v>-268.0497165800661</v>
      </c>
      <c r="F444" s="6">
        <f aca="true" t="shared" si="58" ref="F444:F450">(28.3*(1+1.15))*(C444/E444)</f>
        <v>1.1349573649302047</v>
      </c>
      <c r="G444" s="6">
        <f aca="true" t="shared" si="59" ref="G444:G450">G443+F444</f>
        <v>2.7640177471837544</v>
      </c>
      <c r="H444" s="6">
        <f aca="true" t="shared" si="60" ref="H444:H450">(7.87*(1+1.15))*C444*(D444/E444)</f>
        <v>10.257728622438979</v>
      </c>
      <c r="I444" s="6">
        <f aca="true" t="shared" si="61" ref="I444:I450">I443+H444</f>
        <v>27.63207297977392</v>
      </c>
    </row>
    <row r="445" spans="1:9" ht="12.75">
      <c r="A445" s="26">
        <v>4</v>
      </c>
      <c r="B445" s="6">
        <v>25</v>
      </c>
      <c r="C445" s="6">
        <v>-5</v>
      </c>
      <c r="D445" s="6">
        <f t="shared" si="56"/>
        <v>27.5</v>
      </c>
      <c r="E445" s="6">
        <f t="shared" si="57"/>
        <v>-266.8497165800661</v>
      </c>
      <c r="F445" s="6">
        <f t="shared" si="58"/>
        <v>1.1400611696311087</v>
      </c>
      <c r="G445" s="6">
        <f t="shared" si="59"/>
        <v>3.9040789168148633</v>
      </c>
      <c r="H445" s="6">
        <f t="shared" si="60"/>
        <v>8.718648008389142</v>
      </c>
      <c r="I445" s="6">
        <f t="shared" si="61"/>
        <v>36.35072098816306</v>
      </c>
    </row>
    <row r="446" spans="1:9" ht="12.75">
      <c r="A446" s="6">
        <v>5</v>
      </c>
      <c r="B446" s="6">
        <v>20</v>
      </c>
      <c r="C446" s="6">
        <v>-5</v>
      </c>
      <c r="D446" s="6">
        <f t="shared" si="56"/>
        <v>22.5</v>
      </c>
      <c r="E446" s="6">
        <f t="shared" si="57"/>
        <v>-265.8497165800661</v>
      </c>
      <c r="F446" s="6">
        <f t="shared" si="58"/>
        <v>1.1443495366991538</v>
      </c>
      <c r="G446" s="6">
        <f t="shared" si="59"/>
        <v>5.048428453514017</v>
      </c>
      <c r="H446" s="6">
        <f t="shared" si="60"/>
        <v>7.1602718802474445</v>
      </c>
      <c r="I446" s="6">
        <f t="shared" si="61"/>
        <v>43.510992868410504</v>
      </c>
    </row>
    <row r="447" spans="1:9" ht="12.75">
      <c r="A447" s="26">
        <v>6</v>
      </c>
      <c r="B447" s="6">
        <v>15</v>
      </c>
      <c r="C447" s="6">
        <v>-5</v>
      </c>
      <c r="D447" s="6">
        <f t="shared" si="56"/>
        <v>17.5</v>
      </c>
      <c r="E447" s="6">
        <f t="shared" si="57"/>
        <v>-265.0497165800661</v>
      </c>
      <c r="F447" s="6">
        <f t="shared" si="58"/>
        <v>1.1478035288073958</v>
      </c>
      <c r="G447" s="6">
        <f t="shared" si="59"/>
        <v>6.196231982321413</v>
      </c>
      <c r="H447" s="6">
        <f t="shared" si="60"/>
        <v>5.585909576148361</v>
      </c>
      <c r="I447" s="6">
        <f t="shared" si="61"/>
        <v>49.096902444558864</v>
      </c>
    </row>
    <row r="448" spans="1:9" ht="12.75">
      <c r="A448" s="6">
        <v>7</v>
      </c>
      <c r="B448" s="6">
        <v>10</v>
      </c>
      <c r="C448" s="6">
        <v>-5</v>
      </c>
      <c r="D448" s="6">
        <f t="shared" si="56"/>
        <v>12.5</v>
      </c>
      <c r="E448" s="6">
        <f t="shared" si="57"/>
        <v>-264.4497165800661</v>
      </c>
      <c r="F448" s="6">
        <f t="shared" si="58"/>
        <v>1.1504077369955938</v>
      </c>
      <c r="G448" s="6">
        <f t="shared" si="59"/>
        <v>7.3466397193170065</v>
      </c>
      <c r="H448" s="6">
        <f t="shared" si="60"/>
        <v>3.9989880256869808</v>
      </c>
      <c r="I448" s="6">
        <f t="shared" si="61"/>
        <v>53.09589047024585</v>
      </c>
    </row>
    <row r="449" spans="1:9" ht="12.75">
      <c r="A449" s="26">
        <v>8</v>
      </c>
      <c r="B449" s="6">
        <v>5</v>
      </c>
      <c r="C449" s="6">
        <v>-5</v>
      </c>
      <c r="D449" s="6">
        <f t="shared" si="56"/>
        <v>7.5</v>
      </c>
      <c r="E449" s="6">
        <f t="shared" si="57"/>
        <v>-264.0497165800661</v>
      </c>
      <c r="F449" s="6">
        <f t="shared" si="58"/>
        <v>1.1521504508328142</v>
      </c>
      <c r="G449" s="6">
        <f t="shared" si="59"/>
        <v>8.498790170149821</v>
      </c>
      <c r="H449" s="6">
        <f t="shared" si="60"/>
        <v>2.403027574572681</v>
      </c>
      <c r="I449" s="6">
        <f t="shared" si="61"/>
        <v>55.49891804481853</v>
      </c>
    </row>
    <row r="450" spans="1:9" ht="12.75">
      <c r="A450" s="6">
        <v>9</v>
      </c>
      <c r="B450" s="6">
        <v>0</v>
      </c>
      <c r="C450" s="6">
        <v>-5</v>
      </c>
      <c r="D450" s="6">
        <f t="shared" si="56"/>
        <v>2.5</v>
      </c>
      <c r="E450" s="6">
        <f t="shared" si="57"/>
        <v>-263.8497165800661</v>
      </c>
      <c r="F450" s="6">
        <f t="shared" si="58"/>
        <v>1.1530237892360284</v>
      </c>
      <c r="G450" s="6">
        <f t="shared" si="59"/>
        <v>9.65181395938585</v>
      </c>
      <c r="H450" s="6">
        <f t="shared" si="60"/>
        <v>0.8016163623045535</v>
      </c>
      <c r="I450" s="6">
        <f t="shared" si="61"/>
        <v>56.30053440712308</v>
      </c>
    </row>
    <row r="451" spans="1:9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2.75">
      <c r="A452" s="6" t="s">
        <v>138</v>
      </c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 t="s">
        <v>139</v>
      </c>
      <c r="B453" s="6" t="s">
        <v>85</v>
      </c>
      <c r="C453" s="25" t="s">
        <v>140</v>
      </c>
      <c r="D453" s="25" t="s">
        <v>141</v>
      </c>
      <c r="E453" s="25" t="s">
        <v>88</v>
      </c>
      <c r="F453" s="6" t="s">
        <v>142</v>
      </c>
      <c r="G453" s="6" t="s">
        <v>90</v>
      </c>
      <c r="H453" s="6" t="s">
        <v>143</v>
      </c>
      <c r="I453" s="6" t="s">
        <v>93</v>
      </c>
    </row>
    <row r="454" spans="1:9" ht="12.75">
      <c r="A454" s="6">
        <v>1</v>
      </c>
      <c r="B454" s="6">
        <v>40</v>
      </c>
      <c r="C454" s="6" t="s">
        <v>144</v>
      </c>
      <c r="D454" s="6" t="s">
        <v>144</v>
      </c>
      <c r="E454" s="6"/>
      <c r="F454" s="6"/>
      <c r="G454" s="6">
        <v>0.5</v>
      </c>
      <c r="H454" s="6"/>
      <c r="I454" s="6">
        <v>5.6</v>
      </c>
    </row>
    <row r="455" spans="1:9" ht="12.75">
      <c r="A455" s="26">
        <v>2</v>
      </c>
      <c r="B455" s="6">
        <v>35</v>
      </c>
      <c r="C455" s="6">
        <v>-5</v>
      </c>
      <c r="D455" s="6">
        <f>(B454+B455)/2</f>
        <v>37.5</v>
      </c>
      <c r="E455" s="6">
        <f>PERCENTILE(F428:F429,1-PERCENTRANK(A428:A429,D455))</f>
        <v>-434.6495276334435</v>
      </c>
      <c r="F455" s="6">
        <f>(28.3*(1+1.15))*(C455/E455)</f>
        <v>0.699931739616578</v>
      </c>
      <c r="G455" s="6">
        <f>G454+F455</f>
        <v>1.199931739616578</v>
      </c>
      <c r="H455" s="6">
        <f>(7.87*(1+1.15))*C455*(D455/E455)</f>
        <v>7.2991998111075125</v>
      </c>
      <c r="I455" s="6">
        <f>I454+H455</f>
        <v>12.899199811107511</v>
      </c>
    </row>
    <row r="456" spans="1:9" ht="12.75">
      <c r="A456" s="6">
        <v>3</v>
      </c>
      <c r="B456" s="6">
        <v>30</v>
      </c>
      <c r="C456" s="6">
        <v>-5</v>
      </c>
      <c r="D456" s="6">
        <f aca="true" t="shared" si="62" ref="D456:D462">(B455+B456)/2</f>
        <v>32.5</v>
      </c>
      <c r="E456" s="6">
        <f aca="true" t="shared" si="63" ref="E456:E462">PERCENTILE(F429:F430,1-PERCENTRANK(A429:A430,D456))</f>
        <v>-433.2495276334435</v>
      </c>
      <c r="F456" s="6">
        <f aca="true" t="shared" si="64" ref="F456:F462">(28.3*(1+1.15))*(C456/E456)</f>
        <v>0.702193494963008</v>
      </c>
      <c r="G456" s="6">
        <f aca="true" t="shared" si="65" ref="G456:G462">G455+F456</f>
        <v>1.902125234579586</v>
      </c>
      <c r="H456" s="6">
        <f aca="true" t="shared" si="66" ref="H456:H462">(7.87*(1+1.15))*C456*(D456/E456)</f>
        <v>6.346414882479271</v>
      </c>
      <c r="I456" s="6">
        <f aca="true" t="shared" si="67" ref="I456:I462">I455+H456</f>
        <v>19.24561469358678</v>
      </c>
    </row>
    <row r="457" spans="1:9" ht="12.75">
      <c r="A457" s="26">
        <v>4</v>
      </c>
      <c r="B457" s="6">
        <v>25</v>
      </c>
      <c r="C457" s="6">
        <v>-5</v>
      </c>
      <c r="D457" s="6">
        <f t="shared" si="62"/>
        <v>27.5</v>
      </c>
      <c r="E457" s="6">
        <f t="shared" si="63"/>
        <v>-432.0495276334435</v>
      </c>
      <c r="F457" s="6">
        <f t="shared" si="64"/>
        <v>0.7041438088507956</v>
      </c>
      <c r="G457" s="6">
        <f t="shared" si="65"/>
        <v>2.6062690434303817</v>
      </c>
      <c r="H457" s="6">
        <f t="shared" si="66"/>
        <v>5.384958439241465</v>
      </c>
      <c r="I457" s="6">
        <f t="shared" si="67"/>
        <v>24.630573132828246</v>
      </c>
    </row>
    <row r="458" spans="1:9" ht="12.75">
      <c r="A458" s="6">
        <v>5</v>
      </c>
      <c r="B458" s="6">
        <v>20</v>
      </c>
      <c r="C458" s="6">
        <v>-5</v>
      </c>
      <c r="D458" s="6">
        <f t="shared" si="62"/>
        <v>22.5</v>
      </c>
      <c r="E458" s="6">
        <f t="shared" si="63"/>
        <v>-431.0495276334435</v>
      </c>
      <c r="F458" s="6">
        <f t="shared" si="64"/>
        <v>0.7057773654694902</v>
      </c>
      <c r="G458" s="6">
        <f t="shared" si="65"/>
        <v>3.312046408899872</v>
      </c>
      <c r="H458" s="6">
        <f t="shared" si="66"/>
        <v>4.416096360088693</v>
      </c>
      <c r="I458" s="6">
        <f t="shared" si="67"/>
        <v>29.04666949291694</v>
      </c>
    </row>
    <row r="459" spans="1:9" ht="12.75">
      <c r="A459" s="26">
        <v>6</v>
      </c>
      <c r="B459" s="6">
        <v>15</v>
      </c>
      <c r="C459" s="6">
        <v>-5</v>
      </c>
      <c r="D459" s="6">
        <f t="shared" si="62"/>
        <v>17.5</v>
      </c>
      <c r="E459" s="6">
        <f t="shared" si="63"/>
        <v>-430.2495276334435</v>
      </c>
      <c r="F459" s="6">
        <f t="shared" si="64"/>
        <v>0.7070896781069527</v>
      </c>
      <c r="G459" s="6">
        <f t="shared" si="65"/>
        <v>4.0191360870068245</v>
      </c>
      <c r="H459" s="6">
        <f t="shared" si="66"/>
        <v>3.4411281242855147</v>
      </c>
      <c r="I459" s="6">
        <f t="shared" si="67"/>
        <v>32.48779761720245</v>
      </c>
    </row>
    <row r="460" spans="1:9" ht="12.75">
      <c r="A460" s="6">
        <v>7</v>
      </c>
      <c r="B460" s="6">
        <v>10</v>
      </c>
      <c r="C460" s="6">
        <v>-5</v>
      </c>
      <c r="D460" s="6">
        <f t="shared" si="62"/>
        <v>12.5</v>
      </c>
      <c r="E460" s="6">
        <f t="shared" si="63"/>
        <v>-429.6495276334435</v>
      </c>
      <c r="F460" s="6">
        <f t="shared" si="64"/>
        <v>0.7080771196833486</v>
      </c>
      <c r="G460" s="6">
        <f t="shared" si="65"/>
        <v>4.727213206690173</v>
      </c>
      <c r="H460" s="6">
        <f t="shared" si="66"/>
        <v>2.4613811536695915</v>
      </c>
      <c r="I460" s="6">
        <f t="shared" si="67"/>
        <v>34.949178770872045</v>
      </c>
    </row>
    <row r="461" spans="1:9" ht="12.75">
      <c r="A461" s="26">
        <v>8</v>
      </c>
      <c r="B461" s="6">
        <v>5</v>
      </c>
      <c r="C461" s="6">
        <v>-5</v>
      </c>
      <c r="D461" s="6">
        <f t="shared" si="62"/>
        <v>7.5</v>
      </c>
      <c r="E461" s="6">
        <f t="shared" si="63"/>
        <v>-429.2495276334435</v>
      </c>
      <c r="F461" s="6">
        <f t="shared" si="64"/>
        <v>0.7087369476613429</v>
      </c>
      <c r="G461" s="6">
        <f t="shared" si="65"/>
        <v>5.4359501543515165</v>
      </c>
      <c r="H461" s="6">
        <f t="shared" si="66"/>
        <v>1.4782048881876595</v>
      </c>
      <c r="I461" s="6">
        <f t="shared" si="67"/>
        <v>36.42738365905971</v>
      </c>
    </row>
    <row r="462" spans="1:9" ht="12.75">
      <c r="A462" s="6">
        <v>9</v>
      </c>
      <c r="B462" s="6">
        <v>0</v>
      </c>
      <c r="C462" s="6">
        <v>-5</v>
      </c>
      <c r="D462" s="6">
        <f t="shared" si="62"/>
        <v>2.5</v>
      </c>
      <c r="E462" s="6">
        <f t="shared" si="63"/>
        <v>-429.0495276334435</v>
      </c>
      <c r="F462" s="6">
        <f t="shared" si="64"/>
        <v>0.7090673230152422</v>
      </c>
      <c r="G462" s="6">
        <f t="shared" si="65"/>
        <v>6.145017477366759</v>
      </c>
      <c r="H462" s="6">
        <f t="shared" si="66"/>
        <v>0.49296464948144497</v>
      </c>
      <c r="I462" s="6">
        <f t="shared" si="67"/>
        <v>36.92034830854115</v>
      </c>
    </row>
    <row r="463" spans="1:9" ht="12.75">
      <c r="A463" s="6"/>
      <c r="B463" s="6"/>
      <c r="C463" s="6"/>
      <c r="D463" s="6"/>
      <c r="E463" s="6"/>
      <c r="F463" s="6"/>
      <c r="G463" s="6"/>
      <c r="H463" s="6"/>
      <c r="I463" s="6"/>
    </row>
  </sheetData>
  <sheetProtection/>
  <mergeCells count="21">
    <mergeCell ref="B222:I222"/>
    <mergeCell ref="A71:A72"/>
    <mergeCell ref="B71:D71"/>
    <mergeCell ref="E71:G71"/>
    <mergeCell ref="H71:J71"/>
    <mergeCell ref="B29:D29"/>
    <mergeCell ref="A29:A30"/>
    <mergeCell ref="E29:G29"/>
    <mergeCell ref="H29:J29"/>
    <mergeCell ref="M71:M72"/>
    <mergeCell ref="N71:N72"/>
    <mergeCell ref="A426:A427"/>
    <mergeCell ref="B426:F426"/>
    <mergeCell ref="O71:O72"/>
    <mergeCell ref="P71:P72"/>
    <mergeCell ref="B358:B359"/>
    <mergeCell ref="C358:E358"/>
    <mergeCell ref="F358:F359"/>
    <mergeCell ref="G358:G359"/>
    <mergeCell ref="H358:H359"/>
    <mergeCell ref="A222:A223"/>
  </mergeCells>
  <printOptions/>
  <pageMargins left="0.75" right="0.75" top="1" bottom="1" header="0.5" footer="0.5"/>
  <pageSetup horizontalDpi="300" verticalDpi="300" orientation="portrait" paperSize="9" r:id="rId2"/>
  <ignoredErrors>
    <ignoredError sqref="G301:G30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dcterms:created xsi:type="dcterms:W3CDTF">2012-09-24T05:47:01Z</dcterms:created>
  <dcterms:modified xsi:type="dcterms:W3CDTF">2012-12-10T03:29:38Z</dcterms:modified>
  <cp:category/>
  <cp:version/>
  <cp:contentType/>
  <cp:contentStatus/>
</cp:coreProperties>
</file>